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Ex1.xml" ContentType="application/vnd.ms-office.chartex+xml"/>
  <Override PartName="/xl/charts/style3.xml" ContentType="application/vnd.ms-office.chartstyle+xml"/>
  <Override PartName="/xl/charts/colors3.xml" ContentType="application/vnd.ms-office.chartcolorstyle+xml"/>
  <Override PartName="/xl/charts/chartEx2.xml" ContentType="application/vnd.ms-office.chartex+xml"/>
  <Override PartName="/xl/charts/style4.xml" ContentType="application/vnd.ms-office.chartstyle+xml"/>
  <Override PartName="/xl/charts/colors4.xml" ContentType="application/vnd.ms-office.chartcolorstyle+xml"/>
  <Override PartName="/xl/charts/chart3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Ex3.xml" ContentType="application/vnd.ms-office.chartex+xml"/>
  <Override PartName="/xl/charts/style6.xml" ContentType="application/vnd.ms-office.chartstyle+xml"/>
  <Override PartName="/xl/charts/colors6.xml" ContentType="application/vnd.ms-office.chartcolorstyle+xml"/>
  <Override PartName="/xl/charts/chart4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5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Ex4.xml" ContentType="application/vnd.ms-office.chartex+xml"/>
  <Override PartName="/xl/charts/style9.xml" ContentType="application/vnd.ms-office.chartstyle+xml"/>
  <Override PartName="/xl/charts/colors9.xml" ContentType="application/vnd.ms-office.chartcolorstyle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charts/chart6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7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8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9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0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1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2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charts/chart13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4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tables/table2.xml" ContentType="application/vnd.openxmlformats-officedocument.spreadsheetml.table+xml"/>
  <Override PartName="/xl/drawings/drawing5.xml" ContentType="application/vnd.openxmlformats-officedocument.drawing+xml"/>
  <Override PartName="/xl/comments4.xml" ContentType="application/vnd.openxmlformats-officedocument.spreadsheetml.comments+xml"/>
  <Override PartName="/xl/charts/chart15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16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17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18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19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0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1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2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3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drawings/drawing6.xml" ContentType="application/vnd.openxmlformats-officedocument.drawing+xml"/>
  <Override PartName="/xl/charts/chart26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Ex5.xml" ContentType="application/vnd.ms-office.chartex+xml"/>
  <Override PartName="/xl/charts/style30.xml" ContentType="application/vnd.ms-office.chartstyle+xml"/>
  <Override PartName="/xl/charts/colors30.xml" ContentType="application/vnd.ms-office.chartcolorstyle+xml"/>
  <Override PartName="/xl/charts/chartEx6.xml" ContentType="application/vnd.ms-office.chartex+xml"/>
  <Override PartName="/xl/charts/style31.xml" ContentType="application/vnd.ms-office.chartstyle+xml"/>
  <Override PartName="/xl/charts/colors31.xml" ContentType="application/vnd.ms-office.chartcolorstyle+xml"/>
  <Override PartName="/xl/charts/chart27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charts/chart28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9e5d520c1f56995f/Trabajos/Investigación yo/Boyacá en Cifras/"/>
    </mc:Choice>
  </mc:AlternateContent>
  <xr:revisionPtr revIDLastSave="27" documentId="13_ncr:1_{A96AFB42-28C7-421B-B0C8-5E3CF0DA6048}" xr6:coauthVersionLast="47" xr6:coauthVersionMax="47" xr10:uidLastSave="{86ADB918-E8F0-4FA9-9CC0-A9C2D584BD18}"/>
  <bookViews>
    <workbookView xWindow="-120" yWindow="-120" windowWidth="20730" windowHeight="11160" activeTab="2" xr2:uid="{C360F762-776E-49B2-9BEC-A72C7E0970CA}"/>
  </bookViews>
  <sheets>
    <sheet name="Inicio" sheetId="8" r:id="rId1"/>
    <sheet name="BaseMun" sheetId="1" state="hidden" r:id="rId2"/>
    <sheet name="Económico" sheetId="2" r:id="rId3"/>
    <sheet name="Social" sheetId="4" r:id="rId4"/>
    <sheet name="Ambiental" sheetId="5" r:id="rId5"/>
    <sheet name="BaseBoy" sheetId="9" state="hidden" r:id="rId6"/>
    <sheet name="Boyacá" sheetId="10" r:id="rId7"/>
    <sheet name="Tejido" sheetId="12" r:id="rId8"/>
    <sheet name="DatoActi" sheetId="11" state="hidden" r:id="rId9"/>
  </sheets>
  <definedNames>
    <definedName name="_xlchart.v1.0" hidden="1">Económico!$F$6:$F$8</definedName>
    <definedName name="_xlchart.v1.1" hidden="1">Económico!$H$5</definedName>
    <definedName name="_xlchart.v1.10" hidden="1">Económico!$G$6:$G$8</definedName>
    <definedName name="_xlchart.v1.11" hidden="1">Tejido!$J$3:$J$15</definedName>
    <definedName name="_xlchart.v1.12" hidden="1">Tejido!$R$2</definedName>
    <definedName name="_xlchart.v1.13" hidden="1">Tejido!$R$3:$R$15</definedName>
    <definedName name="_xlchart.v1.14" hidden="1">Tejido!$J$3:$J$15</definedName>
    <definedName name="_xlchart.v1.15" hidden="1">Tejido!$Q$2</definedName>
    <definedName name="_xlchart.v1.16" hidden="1">Tejido!$Q$3:$Q$15</definedName>
    <definedName name="_xlchart.v1.17" hidden="1">Tejido!$R$2</definedName>
    <definedName name="_xlchart.v1.18" hidden="1">Tejido!$R$3:$R$15</definedName>
    <definedName name="_xlchart.v1.2" hidden="1">Económico!$H$6:$H$8</definedName>
    <definedName name="_xlchart.v1.3" hidden="1">BaseMun!$B$3:$B$125</definedName>
    <definedName name="_xlchart.v1.4" hidden="1">BaseMun!$D$3:$D$125</definedName>
    <definedName name="_xlchart.v1.8" hidden="1">Económico!$F$6:$F$8</definedName>
    <definedName name="_xlchart.v1.9" hidden="1">Económico!$G$5</definedName>
    <definedName name="_xlchart.v2.5" hidden="1">Económico!$A$31:$A$32</definedName>
    <definedName name="_xlchart.v2.6" hidden="1">Económico!$B$30</definedName>
    <definedName name="_xlchart.v2.7" hidden="1">Económico!$B$31:$B$32</definedName>
    <definedName name="_xlnm.Print_Area" localSheetId="4">Ambiental!$A$1:$K$22</definedName>
    <definedName name="_xlnm.Print_Area" localSheetId="6">Boyacá!$A$1:$F$83</definedName>
    <definedName name="_xlnm.Print_Area" localSheetId="2">Económico!$A$1:$M$67</definedName>
    <definedName name="_xlnm.Print_Area" localSheetId="0">Inicio!$A$1:$K$21</definedName>
    <definedName name="_xlnm.Print_Area" localSheetId="3">Social!$A$1:$M$52</definedName>
    <definedName name="_xlnm.Print_Area" localSheetId="7">Tejido!$A$1:$T$25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2" l="1" a="1"/>
  <c r="C3" i="2"/>
  <c r="C2" i="2" a="1"/>
  <c r="C2" i="2" s="1"/>
  <c r="C3" i="5"/>
  <c r="C2" i="5"/>
  <c r="C3" i="4"/>
  <c r="C2" i="4"/>
  <c r="P21" i="12" a="1"/>
  <c r="P21" i="12" s="1"/>
  <c r="O21" i="12" a="1"/>
  <c r="O21" i="12" s="1"/>
  <c r="R21" i="12" s="1" a="1"/>
  <c r="R21" i="12" s="1"/>
  <c r="N21" i="12" a="1"/>
  <c r="N21" i="12" s="1"/>
  <c r="M21" i="12" a="1"/>
  <c r="M21" i="12" s="1"/>
  <c r="L21" i="12" a="1"/>
  <c r="L21" i="12" s="1"/>
  <c r="K21" i="12" a="1"/>
  <c r="K21" i="12" s="1"/>
  <c r="P20" i="12" a="1"/>
  <c r="P20" i="12" s="1"/>
  <c r="O20" i="12" a="1"/>
  <c r="O20" i="12" s="1"/>
  <c r="R20" i="12" s="1" a="1"/>
  <c r="R20" i="12" s="1"/>
  <c r="N20" i="12" a="1"/>
  <c r="N20" i="12" s="1"/>
  <c r="P19" i="12" a="1"/>
  <c r="P19" i="12" s="1"/>
  <c r="O19" i="12" a="1"/>
  <c r="O19" i="12" s="1"/>
  <c r="N19" i="12" a="1"/>
  <c r="N19" i="12" s="1"/>
  <c r="P18" i="12" a="1"/>
  <c r="P18" i="12" s="1"/>
  <c r="O18" i="12" a="1"/>
  <c r="O18" i="12" s="1"/>
  <c r="R18" i="12" s="1" a="1"/>
  <c r="R18" i="12" s="1"/>
  <c r="N18" i="12" a="1"/>
  <c r="N18" i="12" s="1"/>
  <c r="M20" i="12" a="1"/>
  <c r="M20" i="12" s="1"/>
  <c r="L20" i="12" a="1"/>
  <c r="L20" i="12" s="1"/>
  <c r="K20" i="12" a="1"/>
  <c r="K20" i="12" s="1"/>
  <c r="M19" i="12" a="1"/>
  <c r="M19" i="12" s="1"/>
  <c r="L19" i="12" a="1"/>
  <c r="L19" i="12" s="1"/>
  <c r="K19" i="12" a="1"/>
  <c r="K19" i="12" s="1"/>
  <c r="M18" i="12" a="1"/>
  <c r="M18" i="12" s="1"/>
  <c r="L18" i="12" a="1"/>
  <c r="L18" i="12" s="1"/>
  <c r="K18" i="12" a="1"/>
  <c r="K18" i="12" s="1"/>
  <c r="Q17" i="12"/>
  <c r="R17" i="12"/>
  <c r="R2" i="12"/>
  <c r="P1" i="12" s="1"/>
  <c r="Q2" i="12"/>
  <c r="J1" i="12" s="1"/>
  <c r="P15" i="12" a="1"/>
  <c r="P15" i="12" s="1"/>
  <c r="O15" i="12" a="1"/>
  <c r="O15" i="12" s="1"/>
  <c r="N15" i="12" a="1"/>
  <c r="N15" i="12" s="1"/>
  <c r="P14" i="12" a="1"/>
  <c r="P14" i="12" s="1"/>
  <c r="O14" i="12" a="1"/>
  <c r="O14" i="12" s="1"/>
  <c r="R14" i="12" s="1" a="1"/>
  <c r="R14" i="12" s="1"/>
  <c r="N14" i="12" a="1"/>
  <c r="N14" i="12" s="1"/>
  <c r="P13" i="12" a="1"/>
  <c r="P13" i="12" s="1"/>
  <c r="O13" i="12" a="1"/>
  <c r="O13" i="12" s="1"/>
  <c r="N13" i="12" a="1"/>
  <c r="N13" i="12" s="1"/>
  <c r="P12" i="12" a="1"/>
  <c r="P12" i="12" s="1"/>
  <c r="O12" i="12" a="1"/>
  <c r="O12" i="12" s="1"/>
  <c r="R12" i="12" s="1" a="1"/>
  <c r="R12" i="12" s="1"/>
  <c r="N12" i="12" a="1"/>
  <c r="N12" i="12" s="1"/>
  <c r="P11" i="12" a="1"/>
  <c r="P11" i="12" s="1"/>
  <c r="O11" i="12" a="1"/>
  <c r="O11" i="12" s="1"/>
  <c r="N11" i="12" a="1"/>
  <c r="N11" i="12" s="1"/>
  <c r="P10" i="12" a="1"/>
  <c r="P10" i="12" s="1"/>
  <c r="O10" i="12" a="1"/>
  <c r="O10" i="12" s="1"/>
  <c r="R10" i="12" s="1" a="1"/>
  <c r="R10" i="12" s="1"/>
  <c r="N10" i="12" a="1"/>
  <c r="N10" i="12" s="1"/>
  <c r="P9" i="12" a="1"/>
  <c r="P9" i="12" s="1"/>
  <c r="O9" i="12" a="1"/>
  <c r="O9" i="12" s="1"/>
  <c r="N9" i="12" a="1"/>
  <c r="N9" i="12" s="1"/>
  <c r="P8" i="12" a="1"/>
  <c r="P8" i="12" s="1"/>
  <c r="O8" i="12" a="1"/>
  <c r="O8" i="12" s="1"/>
  <c r="R8" i="12" s="1" a="1"/>
  <c r="R8" i="12" s="1"/>
  <c r="N8" i="12" a="1"/>
  <c r="N8" i="12" s="1"/>
  <c r="P7" i="12" a="1"/>
  <c r="P7" i="12" s="1"/>
  <c r="O7" i="12" a="1"/>
  <c r="O7" i="12" s="1"/>
  <c r="N7" i="12" a="1"/>
  <c r="N7" i="12" s="1"/>
  <c r="P6" i="12" a="1"/>
  <c r="P6" i="12" s="1"/>
  <c r="O6" i="12" a="1"/>
  <c r="O6" i="12" s="1"/>
  <c r="R6" i="12" s="1" a="1"/>
  <c r="R6" i="12" s="1"/>
  <c r="N6" i="12" a="1"/>
  <c r="N6" i="12" s="1"/>
  <c r="P5" i="12" a="1"/>
  <c r="P5" i="12" s="1"/>
  <c r="O5" i="12" a="1"/>
  <c r="O5" i="12" s="1"/>
  <c r="N5" i="12" a="1"/>
  <c r="N5" i="12" s="1"/>
  <c r="P4" i="12" a="1"/>
  <c r="P4" i="12" s="1"/>
  <c r="O4" i="12" a="1"/>
  <c r="O4" i="12" s="1"/>
  <c r="R4" i="12" s="1" a="1"/>
  <c r="R4" i="12" s="1"/>
  <c r="N4" i="12" a="1"/>
  <c r="N4" i="12" s="1"/>
  <c r="P3" i="12" a="1"/>
  <c r="P3" i="12" s="1"/>
  <c r="O3" i="12" a="1"/>
  <c r="O3" i="12" s="1"/>
  <c r="N3" i="12" a="1"/>
  <c r="N3" i="12" s="1"/>
  <c r="M3" i="12" a="1"/>
  <c r="M3" i="12" s="1"/>
  <c r="L3" i="12" a="1"/>
  <c r="L3" i="12" s="1"/>
  <c r="K3" i="12" a="1"/>
  <c r="K3" i="12" s="1"/>
  <c r="M15" i="12" a="1"/>
  <c r="M15" i="12" s="1"/>
  <c r="L15" i="12" a="1"/>
  <c r="L15" i="12" s="1"/>
  <c r="K15" i="12" a="1"/>
  <c r="K15" i="12" s="1"/>
  <c r="M14" i="12" a="1"/>
  <c r="M14" i="12" s="1"/>
  <c r="L14" i="12" a="1"/>
  <c r="L14" i="12" s="1"/>
  <c r="K14" i="12" a="1"/>
  <c r="K14" i="12" s="1"/>
  <c r="M13" i="12" a="1"/>
  <c r="M13" i="12" s="1"/>
  <c r="L13" i="12" a="1"/>
  <c r="L13" i="12" s="1"/>
  <c r="K13" i="12" a="1"/>
  <c r="K13" i="12" s="1"/>
  <c r="M12" i="12" a="1"/>
  <c r="M12" i="12" s="1"/>
  <c r="L12" i="12" a="1"/>
  <c r="L12" i="12" s="1"/>
  <c r="K12" i="12" a="1"/>
  <c r="K12" i="12" s="1"/>
  <c r="M11" i="12" a="1"/>
  <c r="M11" i="12" s="1"/>
  <c r="L11" i="12" a="1"/>
  <c r="L11" i="12" s="1"/>
  <c r="K11" i="12" a="1"/>
  <c r="K11" i="12" s="1"/>
  <c r="M10" i="12" a="1"/>
  <c r="M10" i="12" s="1"/>
  <c r="L10" i="12" a="1"/>
  <c r="L10" i="12" s="1"/>
  <c r="K10" i="12" a="1"/>
  <c r="K10" i="12" s="1"/>
  <c r="M9" i="12" a="1"/>
  <c r="M9" i="12" s="1"/>
  <c r="L9" i="12" a="1"/>
  <c r="L9" i="12" s="1"/>
  <c r="K9" i="12" a="1"/>
  <c r="K9" i="12" s="1"/>
  <c r="M8" i="12" a="1"/>
  <c r="M8" i="12" s="1"/>
  <c r="L8" i="12" a="1"/>
  <c r="L8" i="12" s="1"/>
  <c r="K8" i="12" a="1"/>
  <c r="K8" i="12" s="1"/>
  <c r="M7" i="12" a="1"/>
  <c r="M7" i="12" s="1"/>
  <c r="L7" i="12" a="1"/>
  <c r="L7" i="12" s="1"/>
  <c r="K7" i="12" a="1"/>
  <c r="K7" i="12" s="1"/>
  <c r="M6" i="12" a="1"/>
  <c r="M6" i="12" s="1"/>
  <c r="L6" i="12" a="1"/>
  <c r="L6" i="12" s="1"/>
  <c r="K6" i="12" a="1"/>
  <c r="K6" i="12" s="1"/>
  <c r="M5" i="12" a="1"/>
  <c r="M5" i="12" s="1"/>
  <c r="L5" i="12" a="1"/>
  <c r="L5" i="12" s="1"/>
  <c r="K5" i="12" a="1"/>
  <c r="K5" i="12" s="1"/>
  <c r="M4" i="12" a="1"/>
  <c r="M4" i="12" s="1"/>
  <c r="L4" i="12" a="1"/>
  <c r="L4" i="12" s="1"/>
  <c r="K4" i="12" a="1"/>
  <c r="K4" i="12" s="1"/>
  <c r="I6" i="12"/>
  <c r="H6" i="12"/>
  <c r="B7" i="12" a="1"/>
  <c r="B7" i="12" s="1"/>
  <c r="G25" i="12" a="1"/>
  <c r="G25" i="12" s="1"/>
  <c r="F25" i="12" a="1"/>
  <c r="F25" i="12" s="1"/>
  <c r="I25" i="12" s="1" a="1"/>
  <c r="I25" i="12" s="1"/>
  <c r="E25" i="12" a="1"/>
  <c r="E25" i="12" s="1"/>
  <c r="D25" i="12" a="1"/>
  <c r="D25" i="12" s="1"/>
  <c r="C25" i="12" a="1"/>
  <c r="C25" i="12" s="1"/>
  <c r="B25" i="12" a="1"/>
  <c r="B25" i="12" s="1"/>
  <c r="G24" i="12" a="1"/>
  <c r="G24" i="12" s="1"/>
  <c r="F24" i="12" a="1"/>
  <c r="F24" i="12" s="1"/>
  <c r="I24" i="12" s="1" a="1"/>
  <c r="I24" i="12" s="1"/>
  <c r="E24" i="12" a="1"/>
  <c r="E24" i="12" s="1"/>
  <c r="D24" i="12" a="1"/>
  <c r="D24" i="12" s="1"/>
  <c r="C24" i="12" a="1"/>
  <c r="C24" i="12" s="1"/>
  <c r="B24" i="12" a="1"/>
  <c r="B24" i="12" s="1"/>
  <c r="G23" i="12" a="1"/>
  <c r="G23" i="12" s="1"/>
  <c r="F23" i="12" a="1"/>
  <c r="F23" i="12" s="1"/>
  <c r="I23" i="12" s="1" a="1"/>
  <c r="I23" i="12" s="1"/>
  <c r="E23" i="12" a="1"/>
  <c r="E23" i="12" s="1"/>
  <c r="D23" i="12" a="1"/>
  <c r="D23" i="12" s="1"/>
  <c r="C23" i="12" a="1"/>
  <c r="C23" i="12" s="1"/>
  <c r="B23" i="12" a="1"/>
  <c r="B23" i="12" s="1"/>
  <c r="G22" i="12" a="1"/>
  <c r="G22" i="12" s="1"/>
  <c r="F22" i="12" a="1"/>
  <c r="F22" i="12" s="1"/>
  <c r="I22" i="12" s="1" a="1"/>
  <c r="I22" i="12" s="1"/>
  <c r="E22" i="12" a="1"/>
  <c r="E22" i="12" s="1"/>
  <c r="D22" i="12" a="1"/>
  <c r="D22" i="12" s="1"/>
  <c r="C22" i="12" a="1"/>
  <c r="C22" i="12" s="1"/>
  <c r="B22" i="12" a="1"/>
  <c r="B22" i="12" s="1"/>
  <c r="G21" i="12" a="1"/>
  <c r="G21" i="12" s="1"/>
  <c r="F21" i="12" a="1"/>
  <c r="F21" i="12" s="1"/>
  <c r="I21" i="12" s="1" a="1"/>
  <c r="I21" i="12" s="1"/>
  <c r="E21" i="12" a="1"/>
  <c r="E21" i="12" s="1"/>
  <c r="D21" i="12" a="1"/>
  <c r="D21" i="12" s="1"/>
  <c r="C21" i="12" a="1"/>
  <c r="C21" i="12" s="1"/>
  <c r="B21" i="12" a="1"/>
  <c r="B21" i="12" s="1"/>
  <c r="G20" i="12" a="1"/>
  <c r="G20" i="12" s="1"/>
  <c r="F20" i="12" a="1"/>
  <c r="F20" i="12" s="1"/>
  <c r="I20" i="12" s="1" a="1"/>
  <c r="I20" i="12" s="1"/>
  <c r="E20" i="12" a="1"/>
  <c r="E20" i="12" s="1"/>
  <c r="D20" i="12" a="1"/>
  <c r="D20" i="12" s="1"/>
  <c r="C20" i="12" a="1"/>
  <c r="C20" i="12" s="1"/>
  <c r="B20" i="12" a="1"/>
  <c r="B20" i="12" s="1"/>
  <c r="G19" i="12" a="1"/>
  <c r="G19" i="12" s="1"/>
  <c r="F19" i="12" a="1"/>
  <c r="F19" i="12" s="1"/>
  <c r="I19" i="12" s="1" a="1"/>
  <c r="I19" i="12" s="1"/>
  <c r="E19" i="12" a="1"/>
  <c r="E19" i="12" s="1"/>
  <c r="D19" i="12" a="1"/>
  <c r="D19" i="12" s="1"/>
  <c r="C19" i="12" a="1"/>
  <c r="C19" i="12" s="1"/>
  <c r="B19" i="12" a="1"/>
  <c r="B19" i="12" s="1"/>
  <c r="G18" i="12" a="1"/>
  <c r="G18" i="12" s="1"/>
  <c r="F18" i="12" a="1"/>
  <c r="F18" i="12" s="1"/>
  <c r="I18" i="12" s="1" a="1"/>
  <c r="I18" i="12" s="1"/>
  <c r="E18" i="12" a="1"/>
  <c r="E18" i="12" s="1"/>
  <c r="D18" i="12" a="1"/>
  <c r="D18" i="12" s="1"/>
  <c r="C18" i="12" a="1"/>
  <c r="C18" i="12" s="1"/>
  <c r="B18" i="12" a="1"/>
  <c r="B18" i="12" s="1"/>
  <c r="G17" i="12" a="1"/>
  <c r="G17" i="12" s="1"/>
  <c r="F17" i="12" a="1"/>
  <c r="F17" i="12" s="1"/>
  <c r="I17" i="12" s="1" a="1"/>
  <c r="I17" i="12" s="1"/>
  <c r="E17" i="12" a="1"/>
  <c r="E17" i="12" s="1"/>
  <c r="D17" i="12" a="1"/>
  <c r="D17" i="12" s="1"/>
  <c r="C17" i="12" a="1"/>
  <c r="C17" i="12" s="1"/>
  <c r="B17" i="12" a="1"/>
  <c r="B17" i="12" s="1"/>
  <c r="G16" i="12" a="1"/>
  <c r="G16" i="12" s="1"/>
  <c r="F16" i="12" a="1"/>
  <c r="F16" i="12" s="1"/>
  <c r="I16" i="12" s="1" a="1"/>
  <c r="I16" i="12" s="1"/>
  <c r="E16" i="12" a="1"/>
  <c r="E16" i="12" s="1"/>
  <c r="D16" i="12" a="1"/>
  <c r="D16" i="12" s="1"/>
  <c r="C16" i="12" a="1"/>
  <c r="C16" i="12" s="1"/>
  <c r="B16" i="12" a="1"/>
  <c r="B16" i="12" s="1"/>
  <c r="G15" i="12" a="1"/>
  <c r="G15" i="12" s="1"/>
  <c r="F15" i="12" a="1"/>
  <c r="F15" i="12" s="1"/>
  <c r="I15" i="12" s="1" a="1"/>
  <c r="I15" i="12" s="1"/>
  <c r="E15" i="12" a="1"/>
  <c r="E15" i="12" s="1"/>
  <c r="D15" i="12" a="1"/>
  <c r="D15" i="12" s="1"/>
  <c r="C15" i="12" a="1"/>
  <c r="C15" i="12" s="1"/>
  <c r="B15" i="12" a="1"/>
  <c r="B15" i="12" s="1"/>
  <c r="G14" i="12" a="1"/>
  <c r="G14" i="12" s="1"/>
  <c r="F14" i="12" a="1"/>
  <c r="F14" i="12" s="1"/>
  <c r="I14" i="12" s="1" a="1"/>
  <c r="I14" i="12" s="1"/>
  <c r="E14" i="12" a="1"/>
  <c r="E14" i="12" s="1"/>
  <c r="D14" i="12" a="1"/>
  <c r="D14" i="12" s="1"/>
  <c r="C14" i="12" a="1"/>
  <c r="C14" i="12" s="1"/>
  <c r="B14" i="12" a="1"/>
  <c r="B14" i="12" s="1"/>
  <c r="G13" i="12" a="1"/>
  <c r="G13" i="12" s="1"/>
  <c r="F13" i="12" a="1"/>
  <c r="F13" i="12" s="1"/>
  <c r="I13" i="12" s="1" a="1"/>
  <c r="I13" i="12" s="1"/>
  <c r="E13" i="12" a="1"/>
  <c r="E13" i="12" s="1"/>
  <c r="D13" i="12" a="1"/>
  <c r="D13" i="12" s="1"/>
  <c r="C13" i="12" a="1"/>
  <c r="C13" i="12" s="1"/>
  <c r="B13" i="12" a="1"/>
  <c r="B13" i="12" s="1"/>
  <c r="G12" i="12" a="1"/>
  <c r="G12" i="12" s="1"/>
  <c r="F12" i="12" a="1"/>
  <c r="F12" i="12" s="1"/>
  <c r="I12" i="12" s="1" a="1"/>
  <c r="I12" i="12" s="1"/>
  <c r="E12" i="12" a="1"/>
  <c r="E12" i="12" s="1"/>
  <c r="D12" i="12" a="1"/>
  <c r="D12" i="12" s="1"/>
  <c r="C12" i="12" a="1"/>
  <c r="C12" i="12" s="1"/>
  <c r="B12" i="12" a="1"/>
  <c r="B12" i="12" s="1"/>
  <c r="G11" i="12" a="1"/>
  <c r="G11" i="12" s="1"/>
  <c r="F11" i="12" a="1"/>
  <c r="F11" i="12" s="1"/>
  <c r="I11" i="12" s="1" a="1"/>
  <c r="I11" i="12" s="1"/>
  <c r="E11" i="12" a="1"/>
  <c r="E11" i="12" s="1"/>
  <c r="D11" i="12" a="1"/>
  <c r="D11" i="12" s="1"/>
  <c r="C11" i="12" a="1"/>
  <c r="C11" i="12" s="1"/>
  <c r="B11" i="12" a="1"/>
  <c r="B11" i="12" s="1"/>
  <c r="G10" i="12" a="1"/>
  <c r="G10" i="12" s="1"/>
  <c r="F10" i="12" a="1"/>
  <c r="F10" i="12" s="1"/>
  <c r="I10" i="12" s="1" a="1"/>
  <c r="I10" i="12" s="1"/>
  <c r="E10" i="12" a="1"/>
  <c r="E10" i="12" s="1"/>
  <c r="D10" i="12" a="1"/>
  <c r="D10" i="12" s="1"/>
  <c r="C10" i="12" a="1"/>
  <c r="C10" i="12" s="1"/>
  <c r="B10" i="12" a="1"/>
  <c r="B10" i="12" s="1"/>
  <c r="G9" i="12" a="1"/>
  <c r="G9" i="12" s="1"/>
  <c r="F9" i="12" a="1"/>
  <c r="F9" i="12" s="1"/>
  <c r="I9" i="12" s="1" a="1"/>
  <c r="I9" i="12" s="1"/>
  <c r="E9" i="12" a="1"/>
  <c r="E9" i="12" s="1"/>
  <c r="D9" i="12" a="1"/>
  <c r="D9" i="12" s="1"/>
  <c r="C9" i="12" a="1"/>
  <c r="C9" i="12" s="1"/>
  <c r="B9" i="12" a="1"/>
  <c r="B9" i="12" s="1"/>
  <c r="G8" i="12" a="1"/>
  <c r="G8" i="12" s="1"/>
  <c r="F8" i="12" a="1"/>
  <c r="F8" i="12" s="1"/>
  <c r="I8" i="12" s="1" a="1"/>
  <c r="I8" i="12" s="1"/>
  <c r="E8" i="12" a="1"/>
  <c r="E8" i="12" s="1"/>
  <c r="D8" i="12" a="1"/>
  <c r="D8" i="12" s="1"/>
  <c r="C8" i="12" a="1"/>
  <c r="C8" i="12" s="1"/>
  <c r="B8" i="12" a="1"/>
  <c r="B8" i="12" s="1"/>
  <c r="G7" i="12" a="1"/>
  <c r="G7" i="12" s="1"/>
  <c r="F7" i="12" a="1"/>
  <c r="F7" i="12" s="1"/>
  <c r="I7" i="12" s="1" a="1"/>
  <c r="I7" i="12" s="1"/>
  <c r="E7" i="12" a="1"/>
  <c r="E7" i="12" s="1"/>
  <c r="D7" i="12" a="1"/>
  <c r="D7" i="12" s="1"/>
  <c r="C7" i="12" a="1"/>
  <c r="C7" i="12" s="1"/>
  <c r="F81" i="10"/>
  <c r="F80" i="10"/>
  <c r="F79" i="10"/>
  <c r="E81" i="10"/>
  <c r="E80" i="10"/>
  <c r="E79" i="10"/>
  <c r="D81" i="10"/>
  <c r="D80" i="10"/>
  <c r="C81" i="10"/>
  <c r="C79" i="10"/>
  <c r="D79" i="10"/>
  <c r="C80" i="10"/>
  <c r="B81" i="10"/>
  <c r="B80" i="10"/>
  <c r="B79" i="10"/>
  <c r="A81" i="10"/>
  <c r="E75" i="10"/>
  <c r="E74" i="10"/>
  <c r="D75" i="10"/>
  <c r="D74" i="10"/>
  <c r="C75" i="10"/>
  <c r="C74" i="10"/>
  <c r="E73" i="10"/>
  <c r="C73" i="10"/>
  <c r="D73" i="10"/>
  <c r="A75" i="10"/>
  <c r="F67" i="10"/>
  <c r="F66" i="10"/>
  <c r="F65" i="10"/>
  <c r="E67" i="10"/>
  <c r="E66" i="10"/>
  <c r="E65" i="10"/>
  <c r="D67" i="10"/>
  <c r="D66" i="10"/>
  <c r="D65" i="10"/>
  <c r="C65" i="10"/>
  <c r="C67" i="10"/>
  <c r="C66" i="10"/>
  <c r="B67" i="10"/>
  <c r="B66" i="10"/>
  <c r="B65" i="10"/>
  <c r="A67" i="10"/>
  <c r="E62" i="10"/>
  <c r="D62" i="10"/>
  <c r="C62" i="10"/>
  <c r="E61" i="10"/>
  <c r="D61" i="10"/>
  <c r="C61" i="10"/>
  <c r="E60" i="10"/>
  <c r="D60" i="10"/>
  <c r="C60" i="10"/>
  <c r="A62" i="10"/>
  <c r="F45" i="10"/>
  <c r="E45" i="10"/>
  <c r="D45" i="10"/>
  <c r="C45" i="10"/>
  <c r="B45" i="10"/>
  <c r="F44" i="10"/>
  <c r="E44" i="10"/>
  <c r="D44" i="10"/>
  <c r="C44" i="10"/>
  <c r="B44" i="10"/>
  <c r="F33" i="10"/>
  <c r="F32" i="10"/>
  <c r="F31" i="10"/>
  <c r="E33" i="10"/>
  <c r="E36" i="10" s="1"/>
  <c r="E32" i="10"/>
  <c r="E31" i="10"/>
  <c r="D33" i="10"/>
  <c r="D32" i="10"/>
  <c r="D31" i="10"/>
  <c r="C33" i="10"/>
  <c r="C36" i="10" s="1"/>
  <c r="C32" i="10"/>
  <c r="C31" i="10"/>
  <c r="B33" i="10"/>
  <c r="B32" i="10"/>
  <c r="B31" i="10"/>
  <c r="A33" i="10"/>
  <c r="A36" i="10" s="1"/>
  <c r="E17" i="10"/>
  <c r="B16" i="10"/>
  <c r="A10" i="10"/>
  <c r="F7" i="10"/>
  <c r="F10" i="10" s="1"/>
  <c r="E7" i="10"/>
  <c r="D7" i="10"/>
  <c r="D10" i="10" s="1"/>
  <c r="C7" i="10"/>
  <c r="B7" i="10"/>
  <c r="E6" i="10"/>
  <c r="D6" i="10"/>
  <c r="C6" i="10"/>
  <c r="B6" i="10"/>
  <c r="F6" i="10"/>
  <c r="F9" i="10" s="1"/>
  <c r="F5" i="10"/>
  <c r="E5" i="10"/>
  <c r="D5" i="10"/>
  <c r="C5" i="10"/>
  <c r="B5" i="10"/>
  <c r="A21" i="10"/>
  <c r="F18" i="10"/>
  <c r="E18" i="10"/>
  <c r="F17" i="10"/>
  <c r="E23" i="10"/>
  <c r="D18" i="10"/>
  <c r="D17" i="10"/>
  <c r="C18" i="10"/>
  <c r="C17" i="10"/>
  <c r="B18" i="10"/>
  <c r="B17" i="10"/>
  <c r="F16" i="10"/>
  <c r="F22" i="10" s="1"/>
  <c r="E16" i="10"/>
  <c r="D16" i="10"/>
  <c r="D22" i="10" s="1"/>
  <c r="C16" i="10"/>
  <c r="B22" i="10"/>
  <c r="A17" i="10"/>
  <c r="A23" i="10" s="1"/>
  <c r="A16" i="10"/>
  <c r="A19" i="10" s="1"/>
  <c r="AK2" i="9"/>
  <c r="AJ2" i="9"/>
  <c r="AI2" i="9"/>
  <c r="AH2" i="9"/>
  <c r="AG2" i="9"/>
  <c r="C6" i="5"/>
  <c r="M8" i="4"/>
  <c r="L8" i="4"/>
  <c r="K8" i="4"/>
  <c r="J8" i="4"/>
  <c r="I8" i="4"/>
  <c r="H8" i="4"/>
  <c r="G8" i="4"/>
  <c r="Q4" i="12" l="1" a="1"/>
  <c r="Q4" i="12" s="1"/>
  <c r="Q6" i="12" a="1"/>
  <c r="Q6" i="12" s="1"/>
  <c r="Q8" i="12" a="1"/>
  <c r="Q8" i="12" s="1"/>
  <c r="Q20" i="12" a="1"/>
  <c r="Q20" i="12" s="1"/>
  <c r="R3" i="12" a="1"/>
  <c r="R3" i="12" s="1"/>
  <c r="R5" i="12" a="1"/>
  <c r="R5" i="12" s="1"/>
  <c r="R7" i="12" a="1"/>
  <c r="R7" i="12" s="1"/>
  <c r="R9" i="12" a="1"/>
  <c r="R9" i="12" s="1"/>
  <c r="R11" i="12" a="1"/>
  <c r="R11" i="12" s="1"/>
  <c r="R13" i="12" a="1"/>
  <c r="R13" i="12" s="1"/>
  <c r="R15" i="12" a="1"/>
  <c r="R15" i="12" s="1"/>
  <c r="R19" i="12" a="1"/>
  <c r="R19" i="12" s="1"/>
  <c r="Q10" i="12" a="1"/>
  <c r="Q10" i="12" s="1"/>
  <c r="Q12" i="12" a="1"/>
  <c r="Q12" i="12" s="1"/>
  <c r="Q15" i="12" a="1"/>
  <c r="Q15" i="12" s="1"/>
  <c r="Q19" i="12" a="1"/>
  <c r="Q19" i="12" s="1"/>
  <c r="Q21" i="12" a="1"/>
  <c r="Q21" i="12" s="1"/>
  <c r="Q14" i="12" a="1"/>
  <c r="Q14" i="12" s="1"/>
  <c r="Q3" i="12" a="1"/>
  <c r="Q3" i="12" s="1"/>
  <c r="Q18" i="12" a="1"/>
  <c r="Q18" i="12" s="1"/>
  <c r="Q5" i="12" a="1"/>
  <c r="Q5" i="12" s="1"/>
  <c r="Q7" i="12" a="1"/>
  <c r="Q7" i="12" s="1"/>
  <c r="Q9" i="12" a="1"/>
  <c r="Q9" i="12" s="1"/>
  <c r="Q11" i="12" a="1"/>
  <c r="Q11" i="12" s="1"/>
  <c r="Q13" i="12" a="1"/>
  <c r="Q13" i="12" s="1"/>
  <c r="H7" i="12" a="1"/>
  <c r="H7" i="12" s="1"/>
  <c r="H8" i="12" a="1"/>
  <c r="H8" i="12" s="1"/>
  <c r="H10" i="12" a="1"/>
  <c r="H10" i="12" s="1"/>
  <c r="H9" i="12" a="1"/>
  <c r="H9" i="12" s="1"/>
  <c r="H11" i="12" a="1"/>
  <c r="H11" i="12" s="1"/>
  <c r="H12" i="12" a="1"/>
  <c r="H12" i="12" s="1"/>
  <c r="H13" i="12" a="1"/>
  <c r="H13" i="12" s="1"/>
  <c r="H14" i="12" a="1"/>
  <c r="H14" i="12" s="1"/>
  <c r="H15" i="12" a="1"/>
  <c r="H15" i="12" s="1"/>
  <c r="H16" i="12" a="1"/>
  <c r="H16" i="12" s="1"/>
  <c r="H17" i="12" a="1"/>
  <c r="H17" i="12" s="1"/>
  <c r="H18" i="12" a="1"/>
  <c r="H18" i="12" s="1"/>
  <c r="H19" i="12" a="1"/>
  <c r="H19" i="12" s="1"/>
  <c r="H20" i="12" a="1"/>
  <c r="H20" i="12" s="1"/>
  <c r="H21" i="12" a="1"/>
  <c r="H21" i="12" s="1"/>
  <c r="H22" i="12" a="1"/>
  <c r="H22" i="12" s="1"/>
  <c r="H23" i="12" a="1"/>
  <c r="H23" i="12" s="1"/>
  <c r="H24" i="12" a="1"/>
  <c r="H24" i="12" s="1"/>
  <c r="H25" i="12" a="1"/>
  <c r="H25" i="12" s="1"/>
  <c r="A74" i="10"/>
  <c r="A80" i="10" s="1"/>
  <c r="D35" i="10"/>
  <c r="F35" i="10"/>
  <c r="D8" i="10"/>
  <c r="F8" i="10"/>
  <c r="C34" i="10"/>
  <c r="E34" i="10"/>
  <c r="A73" i="10"/>
  <c r="A79" i="10" s="1"/>
  <c r="A60" i="10"/>
  <c r="A65" i="10" s="1"/>
  <c r="D36" i="10"/>
  <c r="F36" i="10"/>
  <c r="A61" i="10"/>
  <c r="A66" i="10" s="1"/>
  <c r="C35" i="10"/>
  <c r="D34" i="10"/>
  <c r="E35" i="10"/>
  <c r="F34" i="10"/>
  <c r="A32" i="10"/>
  <c r="A35" i="10" s="1"/>
  <c r="A44" i="10"/>
  <c r="A31" i="10"/>
  <c r="A34" i="10" s="1"/>
  <c r="A45" i="10"/>
  <c r="D9" i="10"/>
  <c r="B23" i="10"/>
  <c r="C23" i="10"/>
  <c r="D23" i="10"/>
  <c r="C8" i="10"/>
  <c r="E8" i="10"/>
  <c r="C9" i="10"/>
  <c r="E9" i="10"/>
  <c r="C10" i="10"/>
  <c r="E10" i="10"/>
  <c r="E21" i="10"/>
  <c r="A20" i="10"/>
  <c r="A5" i="10"/>
  <c r="A8" i="10" s="1"/>
  <c r="C21" i="10"/>
  <c r="D21" i="10"/>
  <c r="F20" i="10"/>
  <c r="F21" i="10"/>
  <c r="A6" i="10"/>
  <c r="A9" i="10" s="1"/>
  <c r="E20" i="10"/>
  <c r="F23" i="10"/>
  <c r="A22" i="10"/>
  <c r="C19" i="10"/>
  <c r="E19" i="10"/>
  <c r="D20" i="10"/>
  <c r="C20" i="10"/>
  <c r="C22" i="10"/>
  <c r="E22" i="10"/>
  <c r="D19" i="10"/>
  <c r="F19" i="10"/>
  <c r="H1" i="5"/>
  <c r="H2" i="5" a="1"/>
  <c r="H2" i="5" s="1"/>
  <c r="B8" i="5" a="1"/>
  <c r="B8" i="5" s="1"/>
  <c r="C8" i="5" a="1"/>
  <c r="C8" i="5" s="1"/>
  <c r="I1" i="5"/>
  <c r="I2" i="5" a="1"/>
  <c r="I2" i="5" s="1"/>
  <c r="C7" i="5" a="1"/>
  <c r="C7" i="5" s="1"/>
  <c r="B7" i="5" a="1"/>
  <c r="B7" i="5" s="1"/>
  <c r="B6" i="5"/>
  <c r="C6" i="4" a="1"/>
  <c r="C6" i="4" s="1"/>
  <c r="C5" i="4"/>
  <c r="I34" i="4" s="1"/>
  <c r="B5" i="4"/>
  <c r="I42" i="2" a="1"/>
  <c r="I42" i="2" s="1"/>
  <c r="H42" i="2" a="1"/>
  <c r="H42" i="2" s="1"/>
  <c r="I41" i="2" a="1"/>
  <c r="I41" i="2" s="1"/>
  <c r="H41" i="2" a="1"/>
  <c r="H41" i="2" s="1"/>
  <c r="I40" i="2" a="1"/>
  <c r="I40" i="2" s="1"/>
  <c r="H40" i="2" a="1"/>
  <c r="H40" i="2" s="1"/>
  <c r="I39" i="2" a="1"/>
  <c r="I39" i="2" s="1"/>
  <c r="H39" i="2" a="1"/>
  <c r="H39" i="2" s="1"/>
  <c r="I38" i="2" a="1"/>
  <c r="I38" i="2" s="1"/>
  <c r="H38" i="2" a="1"/>
  <c r="H38" i="2" s="1"/>
  <c r="I37" i="2" a="1"/>
  <c r="I37" i="2" s="1"/>
  <c r="H37" i="2" a="1"/>
  <c r="H37" i="2" s="1"/>
  <c r="I36" i="2" a="1"/>
  <c r="I36" i="2" s="1"/>
  <c r="H36" i="2" a="1"/>
  <c r="H36" i="2" s="1"/>
  <c r="I37" i="4" l="1" a="1"/>
  <c r="I37" i="4" s="1"/>
  <c r="I36" i="4" a="1"/>
  <c r="I36" i="4" s="1"/>
  <c r="I35" i="4" a="1"/>
  <c r="I35" i="4" s="1"/>
  <c r="C26" i="4" a="1"/>
  <c r="C26" i="4" s="1"/>
  <c r="C25" i="4" a="1"/>
  <c r="C25" i="4" s="1"/>
  <c r="C24" i="4" a="1"/>
  <c r="C24" i="4" s="1"/>
  <c r="C23" i="4"/>
  <c r="L7" i="4" a="1"/>
  <c r="L7" i="4" s="1"/>
  <c r="I7" i="4" a="1"/>
  <c r="I7" i="4" s="1"/>
  <c r="G7" i="4"/>
  <c r="G10" i="4" s="1"/>
  <c r="D40" i="4" a="1"/>
  <c r="D40" i="4" s="1"/>
  <c r="D39" i="4" a="1"/>
  <c r="D39" i="4" s="1"/>
  <c r="D38" i="4" a="1"/>
  <c r="D38" i="4" s="1"/>
  <c r="D37" i="4" a="1"/>
  <c r="D37" i="4" s="1"/>
  <c r="D36" i="4"/>
  <c r="H22" i="4" a="1"/>
  <c r="H22" i="4" s="1"/>
  <c r="G22" i="4" a="1"/>
  <c r="G22" i="4" s="1"/>
  <c r="F22" i="4"/>
  <c r="M7" i="4" a="1"/>
  <c r="M7" i="4" s="1"/>
  <c r="K7" i="4" a="1"/>
  <c r="K7" i="4" s="1"/>
  <c r="J7" i="4" a="1"/>
  <c r="J7" i="4" s="1"/>
  <c r="H7" i="4" a="1"/>
  <c r="H7" i="4" s="1"/>
  <c r="C7" i="4" a="1"/>
  <c r="C7" i="4" s="1"/>
  <c r="H37" i="4" a="1"/>
  <c r="H37" i="4" s="1"/>
  <c r="H36" i="4" a="1"/>
  <c r="H36" i="4" s="1"/>
  <c r="H35" i="4" a="1"/>
  <c r="H35" i="4" s="1"/>
  <c r="C40" i="4" a="1"/>
  <c r="C40" i="4" s="1"/>
  <c r="C39" i="4" a="1"/>
  <c r="C39" i="4" s="1"/>
  <c r="C38" i="4" a="1"/>
  <c r="C38" i="4" s="1"/>
  <c r="C37" i="4" a="1"/>
  <c r="C37" i="4" s="1"/>
  <c r="B26" i="4" a="1"/>
  <c r="B26" i="4" s="1"/>
  <c r="B25" i="4" a="1"/>
  <c r="B25" i="4" s="1"/>
  <c r="B24" i="4" a="1"/>
  <c r="B24" i="4" s="1"/>
  <c r="H21" i="4" a="1"/>
  <c r="H21" i="4" s="1"/>
  <c r="G21" i="4" a="1"/>
  <c r="G21" i="4" s="1"/>
  <c r="H34" i="4"/>
  <c r="C36" i="4"/>
  <c r="B23" i="4"/>
  <c r="F21" i="4"/>
  <c r="M6" i="4" a="1"/>
  <c r="M6" i="4" s="1"/>
  <c r="L6" i="4" a="1"/>
  <c r="L6" i="4" s="1"/>
  <c r="K6" i="4" a="1"/>
  <c r="K6" i="4" s="1"/>
  <c r="J6" i="4" a="1"/>
  <c r="J6" i="4" s="1"/>
  <c r="I6" i="4" a="1"/>
  <c r="I6" i="4" s="1"/>
  <c r="H6" i="4" a="1"/>
  <c r="H6" i="4" s="1"/>
  <c r="G6" i="4"/>
  <c r="G9" i="4" s="1"/>
  <c r="B6" i="4" a="1"/>
  <c r="B6" i="4" s="1"/>
  <c r="B7" i="4" a="1"/>
  <c r="B7" i="4" s="1"/>
  <c r="C8" i="4"/>
  <c r="I35" i="2" a="1"/>
  <c r="I35" i="2" s="1"/>
  <c r="H35" i="2" a="1"/>
  <c r="H35" i="2" s="1"/>
  <c r="I34" i="2"/>
  <c r="H34" i="2"/>
  <c r="H10" i="4" l="1"/>
  <c r="K10" i="4"/>
  <c r="L10" i="4"/>
  <c r="J10" i="4"/>
  <c r="M10" i="4"/>
  <c r="I10" i="4"/>
  <c r="I9" i="4"/>
  <c r="K9" i="4"/>
  <c r="M9" i="4"/>
  <c r="B8" i="4"/>
  <c r="H9" i="4"/>
  <c r="J9" i="4"/>
  <c r="L9" i="4"/>
  <c r="E32" i="2" a="1"/>
  <c r="E32" i="2" s="1"/>
  <c r="D32" i="2" a="1"/>
  <c r="D32" i="2" s="1"/>
  <c r="C32" i="2" a="1"/>
  <c r="C32" i="2" s="1"/>
  <c r="E31" i="2" a="1"/>
  <c r="E31" i="2" s="1"/>
  <c r="D31" i="2" a="1"/>
  <c r="D31" i="2" s="1"/>
  <c r="C31" i="2" a="1"/>
  <c r="C31" i="2" s="1"/>
  <c r="B31" i="2" a="1"/>
  <c r="B31" i="2" s="1"/>
  <c r="A32" i="2"/>
  <c r="A31" i="2"/>
  <c r="B32" i="2" a="1"/>
  <c r="B32" i="2" s="1"/>
  <c r="B8" i="2" a="1"/>
  <c r="B8" i="2" s="1"/>
  <c r="C8" i="2" s="1"/>
  <c r="C12" i="2" s="1"/>
  <c r="J2" i="2"/>
  <c r="F2" i="2"/>
  <c r="M17" i="2" a="1"/>
  <c r="M17" i="2" s="1"/>
  <c r="M16" i="2" a="1"/>
  <c r="M16" i="2" s="1"/>
  <c r="L17" i="2" a="1"/>
  <c r="L17" i="2" s="1"/>
  <c r="L16" i="2" a="1"/>
  <c r="L16" i="2" s="1"/>
  <c r="K17" i="2" a="1"/>
  <c r="K17" i="2" s="1"/>
  <c r="K16" i="2" a="1"/>
  <c r="K16" i="2" s="1"/>
  <c r="J17" i="2" a="1"/>
  <c r="J17" i="2" s="1"/>
  <c r="J16" i="2" a="1"/>
  <c r="J16" i="2" s="1"/>
  <c r="I17" i="2" a="1"/>
  <c r="I17" i="2" s="1"/>
  <c r="I16" i="2" a="1"/>
  <c r="I16" i="2" s="1"/>
  <c r="H17" i="2" a="1"/>
  <c r="H17" i="2" s="1"/>
  <c r="H16" i="2" a="1"/>
  <c r="H16" i="2" s="1"/>
  <c r="G17" i="2" a="1"/>
  <c r="G17" i="2" s="1"/>
  <c r="G16" i="2" a="1"/>
  <c r="G16" i="2" s="1"/>
  <c r="F17" i="2"/>
  <c r="F16" i="2"/>
  <c r="H8" i="2" a="1"/>
  <c r="H8" i="2" s="1"/>
  <c r="H7" i="2" a="1"/>
  <c r="H7" i="2" s="1"/>
  <c r="G8" i="2" a="1"/>
  <c r="G8" i="2" s="1"/>
  <c r="G7" i="2" a="1"/>
  <c r="G7" i="2" s="1"/>
  <c r="G6" i="2" a="1"/>
  <c r="G6" i="2" s="1"/>
  <c r="H6" i="2" a="1"/>
  <c r="H6" i="2" s="1"/>
  <c r="H5" i="2"/>
  <c r="G5" i="2"/>
  <c r="A13" i="2"/>
  <c r="A12" i="2"/>
  <c r="A11" i="2"/>
  <c r="C10" i="2" a="1"/>
  <c r="C10" i="2" s="1"/>
  <c r="B10" i="2" a="1"/>
  <c r="B10" i="2" s="1"/>
  <c r="B7" i="2" a="1"/>
  <c r="B7" i="2" s="1"/>
  <c r="B11" i="2" s="1"/>
  <c r="B6" i="2" a="1"/>
  <c r="B6" i="2" s="1"/>
  <c r="B5" i="2"/>
  <c r="C5" i="2"/>
  <c r="C7" i="2" a="1"/>
  <c r="C7" i="2" s="1"/>
  <c r="C11" i="2" s="1"/>
  <c r="C6" i="2" a="1"/>
  <c r="C6" i="2" s="1"/>
  <c r="B12" i="2" l="1"/>
  <c r="C9" i="2"/>
  <c r="C13" i="2" s="1"/>
  <c r="B9" i="2"/>
  <c r="B13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UserPC</author>
  </authors>
  <commentList>
    <comment ref="B2" authorId="0" shapeId="0" xr:uid="{054428A1-DB12-4B72-87C0-4801615D833F}">
      <text>
        <r>
          <rPr>
            <b/>
            <sz val="9"/>
            <color indexed="81"/>
            <rFont val="Tahoma"/>
            <family val="2"/>
          </rPr>
          <t>Seleccione el primer municipio</t>
        </r>
      </text>
    </comment>
    <comment ref="B3" authorId="0" shapeId="0" xr:uid="{A6546C13-E63A-40CB-88F2-5705D00EF6AE}">
      <text>
        <r>
          <rPr>
            <b/>
            <sz val="9"/>
            <color indexed="81"/>
            <rFont val="Tahoma"/>
            <family val="2"/>
          </rPr>
          <t>Selecciones el segundo municipio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UserPC</author>
  </authors>
  <commentList>
    <comment ref="B2" authorId="0" shapeId="0" xr:uid="{B460B9B9-2334-4595-B44F-E4614B26683B}">
      <text>
        <r>
          <rPr>
            <b/>
            <sz val="9"/>
            <color indexed="81"/>
            <rFont val="Tahoma"/>
            <family val="2"/>
          </rPr>
          <t>Seleccione el primer municipio</t>
        </r>
      </text>
    </comment>
    <comment ref="B3" authorId="0" shapeId="0" xr:uid="{B6DCB4AB-3C09-4455-B7EE-997B9CDE5416}">
      <text>
        <r>
          <rPr>
            <b/>
            <sz val="9"/>
            <color indexed="81"/>
            <rFont val="Tahoma"/>
            <family val="2"/>
          </rPr>
          <t>Selecciones el segundo municipio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UserPC</author>
  </authors>
  <commentList>
    <comment ref="B2" authorId="0" shapeId="0" xr:uid="{301771C0-2388-44F4-9064-65F0ADA6F371}">
      <text>
        <r>
          <rPr>
            <b/>
            <sz val="9"/>
            <color indexed="81"/>
            <rFont val="Tahoma"/>
            <family val="2"/>
          </rPr>
          <t>Seleccione el primer municipio</t>
        </r>
      </text>
    </comment>
    <comment ref="B3" authorId="0" shapeId="0" xr:uid="{D76DC923-DAFF-47D5-B512-2A81D5DA7C0A}">
      <text>
        <r>
          <rPr>
            <b/>
            <sz val="9"/>
            <color indexed="81"/>
            <rFont val="Tahoma"/>
            <family val="2"/>
          </rPr>
          <t>Selecciones el segundo municipio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UserPC</author>
  </authors>
  <commentList>
    <comment ref="B2" authorId="0" shapeId="0" xr:uid="{AEC1E079-D4D2-4130-BA4F-0F5477B209D7}">
      <text>
        <r>
          <rPr>
            <b/>
            <sz val="9"/>
            <color indexed="81"/>
            <rFont val="Tahoma"/>
            <family val="2"/>
          </rPr>
          <t>Seleccione el primer Departamento</t>
        </r>
      </text>
    </comment>
    <comment ref="D2" authorId="0" shapeId="0" xr:uid="{67DC425A-9736-4769-9D31-633378957015}">
      <text>
        <r>
          <rPr>
            <b/>
            <sz val="9"/>
            <color indexed="81"/>
            <rFont val="Tahoma"/>
            <family val="2"/>
          </rPr>
          <t>Selecciones el segundo Departamento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<sst xmlns="http://schemas.openxmlformats.org/spreadsheetml/2006/main" count="877" uniqueCount="525">
  <si>
    <t xml:space="preserve">Municipio </t>
  </si>
  <si>
    <t>Provincia</t>
  </si>
  <si>
    <t>Almeida</t>
  </si>
  <si>
    <t>15022 - Almeida</t>
  </si>
  <si>
    <t>Oriente</t>
  </si>
  <si>
    <t>Aquitania</t>
  </si>
  <si>
    <t>15047 - Aquitania</t>
  </si>
  <si>
    <t>Sugamuxi</t>
  </si>
  <si>
    <t>Arcabuco</t>
  </si>
  <si>
    <t>15051 - Arcabuco</t>
  </si>
  <si>
    <t>Ricaurte</t>
  </si>
  <si>
    <t>Belén</t>
  </si>
  <si>
    <t>15087 - Belén</t>
  </si>
  <si>
    <t>Tundama</t>
  </si>
  <si>
    <t>Berbeo</t>
  </si>
  <si>
    <t>15090 - Berbeo</t>
  </si>
  <si>
    <t>Lengupá</t>
  </si>
  <si>
    <t>Betéitiva</t>
  </si>
  <si>
    <t>15092 - Betéitiva</t>
  </si>
  <si>
    <t>Valderrama</t>
  </si>
  <si>
    <t>Boavita</t>
  </si>
  <si>
    <t>15097 - Boavita</t>
  </si>
  <si>
    <t>Norte</t>
  </si>
  <si>
    <t>Boyacá</t>
  </si>
  <si>
    <t>15104 - Boyacá</t>
  </si>
  <si>
    <t>Márquez</t>
  </si>
  <si>
    <t>Briceño</t>
  </si>
  <si>
    <t>15106 - Briceño</t>
  </si>
  <si>
    <t>Occidente</t>
  </si>
  <si>
    <t>Buenavista</t>
  </si>
  <si>
    <t>15109 - Buenavista</t>
  </si>
  <si>
    <t>Busbanzá</t>
  </si>
  <si>
    <t>15114 - Busbanzá</t>
  </si>
  <si>
    <t>Caldas</t>
  </si>
  <si>
    <t>15131 - Caldas</t>
  </si>
  <si>
    <t>Campohermoso</t>
  </si>
  <si>
    <t>15135 - Campohermoso</t>
  </si>
  <si>
    <t>Cerinza</t>
  </si>
  <si>
    <t>15162 - Cerinza</t>
  </si>
  <si>
    <t>Chinavita</t>
  </si>
  <si>
    <t>15172 - Chinavita</t>
  </si>
  <si>
    <t>Neira</t>
  </si>
  <si>
    <t>Chiquinquirá</t>
  </si>
  <si>
    <t>15176 - Chiquinquirá</t>
  </si>
  <si>
    <t>Chíquiza</t>
  </si>
  <si>
    <t>15232 - Chíquiza</t>
  </si>
  <si>
    <t>Centro</t>
  </si>
  <si>
    <t>Chiscas</t>
  </si>
  <si>
    <t>15180 - Chiscas</t>
  </si>
  <si>
    <t>Gutiérrez</t>
  </si>
  <si>
    <t>Chita</t>
  </si>
  <si>
    <t>15183 - Chita</t>
  </si>
  <si>
    <t>Chitaraque</t>
  </si>
  <si>
    <t>15185 - Chitaraque</t>
  </si>
  <si>
    <t>Chivatá</t>
  </si>
  <si>
    <t>15187 - Chivatá</t>
  </si>
  <si>
    <t>Chivor</t>
  </si>
  <si>
    <t>15236 - Chivor</t>
  </si>
  <si>
    <t>Ciénega</t>
  </si>
  <si>
    <t>15189 - Ciénega</t>
  </si>
  <si>
    <t>Cómbita</t>
  </si>
  <si>
    <t>15204 - Cómbita</t>
  </si>
  <si>
    <t>Coper</t>
  </si>
  <si>
    <t>15212 - Coper</t>
  </si>
  <si>
    <t>Corrales</t>
  </si>
  <si>
    <t>15215 - Corrales</t>
  </si>
  <si>
    <t>Covarachía</t>
  </si>
  <si>
    <t>15218 - Covarachía</t>
  </si>
  <si>
    <t>Cubará</t>
  </si>
  <si>
    <t>15223 - Cubará</t>
  </si>
  <si>
    <t>Cucaita</t>
  </si>
  <si>
    <t>15224 - Cucaita</t>
  </si>
  <si>
    <t>Cuítiva</t>
  </si>
  <si>
    <t>15226 - Cuítiva</t>
  </si>
  <si>
    <t>Duitama</t>
  </si>
  <si>
    <t>15238 - Duitama</t>
  </si>
  <si>
    <t>El Cocuy</t>
  </si>
  <si>
    <t>15244 - El Cocuy</t>
  </si>
  <si>
    <t>El Espino</t>
  </si>
  <si>
    <t>15248 - El Espino</t>
  </si>
  <si>
    <t>Firavitoba</t>
  </si>
  <si>
    <t>15272 - Firavitoba</t>
  </si>
  <si>
    <t>Floresta</t>
  </si>
  <si>
    <t>15276 - Floresta</t>
  </si>
  <si>
    <t>Gachantivá</t>
  </si>
  <si>
    <t>15293 - Gachantivá</t>
  </si>
  <si>
    <t>Gámeza</t>
  </si>
  <si>
    <t>15296 - Gámeza</t>
  </si>
  <si>
    <t>Garagoa</t>
  </si>
  <si>
    <t>15299 - Garagoa</t>
  </si>
  <si>
    <t>Guacamayas</t>
  </si>
  <si>
    <t>15317 - Guacamayas</t>
  </si>
  <si>
    <t>Guateque</t>
  </si>
  <si>
    <t>15322 - Guateque</t>
  </si>
  <si>
    <t>Guayatá</t>
  </si>
  <si>
    <t>15325 - Guayatá</t>
  </si>
  <si>
    <t>Güicán de la Sierra</t>
  </si>
  <si>
    <t>15332 - Güicán de la Sierra</t>
  </si>
  <si>
    <t>Iza</t>
  </si>
  <si>
    <t>15362 - Iza</t>
  </si>
  <si>
    <t>Jenesano</t>
  </si>
  <si>
    <t>15367 - Jenesano</t>
  </si>
  <si>
    <t>Jericó</t>
  </si>
  <si>
    <t>15368 - Jericó</t>
  </si>
  <si>
    <t>La Capilla</t>
  </si>
  <si>
    <t>15380 - La Capilla</t>
  </si>
  <si>
    <t>La Uvita</t>
  </si>
  <si>
    <t>15403 - La Uvita</t>
  </si>
  <si>
    <t>La Victoria</t>
  </si>
  <si>
    <t>15401 - La Victoria</t>
  </si>
  <si>
    <t>Labranzagrande</t>
  </si>
  <si>
    <t>15377 - Labranzagrande</t>
  </si>
  <si>
    <t>La Libertad</t>
  </si>
  <si>
    <t>Macanal</t>
  </si>
  <si>
    <t>15425 - Macanal</t>
  </si>
  <si>
    <t>Maripí</t>
  </si>
  <si>
    <t>15442 - Maripí</t>
  </si>
  <si>
    <t>Miraflores</t>
  </si>
  <si>
    <t>15455 - Miraflores</t>
  </si>
  <si>
    <t>Mongua</t>
  </si>
  <si>
    <t>15464 - Mongua</t>
  </si>
  <si>
    <t>Monguí</t>
  </si>
  <si>
    <t>15466 - Monguí</t>
  </si>
  <si>
    <t>Moniquirá</t>
  </si>
  <si>
    <t>15469 - Moniquirá</t>
  </si>
  <si>
    <t>Motavita</t>
  </si>
  <si>
    <t>15476 - Motavita</t>
  </si>
  <si>
    <t>Muzo</t>
  </si>
  <si>
    <t>15480 - Muzo</t>
  </si>
  <si>
    <t>Nobsa</t>
  </si>
  <si>
    <t>15491 - Nobsa</t>
  </si>
  <si>
    <t>Nuevo Colón</t>
  </si>
  <si>
    <t>15494 - Nuevo Colón</t>
  </si>
  <si>
    <t>Oicatá</t>
  </si>
  <si>
    <t>15500 - Oicatá</t>
  </si>
  <si>
    <t>Otanche</t>
  </si>
  <si>
    <t>15507 - Otanche</t>
  </si>
  <si>
    <t>Pachavita</t>
  </si>
  <si>
    <t>15511 - Pachavita</t>
  </si>
  <si>
    <t>Páez</t>
  </si>
  <si>
    <t>15514 - Páez</t>
  </si>
  <si>
    <t>Paipa</t>
  </si>
  <si>
    <t>15516 - Paipa</t>
  </si>
  <si>
    <t>Pajarito</t>
  </si>
  <si>
    <t>15518 - Pajarito</t>
  </si>
  <si>
    <t>Panqueba</t>
  </si>
  <si>
    <t>15522 - Panqueba</t>
  </si>
  <si>
    <t>Pauna</t>
  </si>
  <si>
    <t>15531 - Pauna</t>
  </si>
  <si>
    <t>Paya</t>
  </si>
  <si>
    <t>15533 - Paya</t>
  </si>
  <si>
    <t>Paz de río</t>
  </si>
  <si>
    <t>15537 - Paz de río</t>
  </si>
  <si>
    <t>Pesca</t>
  </si>
  <si>
    <t>15542 - Pesca</t>
  </si>
  <si>
    <t>Pisba</t>
  </si>
  <si>
    <t>15550 - Pisba</t>
  </si>
  <si>
    <t>Puerto Boyacá</t>
  </si>
  <si>
    <t>15572 - Puerto Boyacá</t>
  </si>
  <si>
    <t>Quípama</t>
  </si>
  <si>
    <t>15580 - Quípama</t>
  </si>
  <si>
    <t>Ramiriquí</t>
  </si>
  <si>
    <t>15599 - Ramiriquí</t>
  </si>
  <si>
    <t>Ráquira</t>
  </si>
  <si>
    <t>15600 - Ráquira</t>
  </si>
  <si>
    <t>Rondón</t>
  </si>
  <si>
    <t>15621 - Rondón</t>
  </si>
  <si>
    <t>Saboyá</t>
  </si>
  <si>
    <t>15632 - Saboyá</t>
  </si>
  <si>
    <t>Sáchica</t>
  </si>
  <si>
    <t>15638 - Sáchica</t>
  </si>
  <si>
    <t>Samacá</t>
  </si>
  <si>
    <t>15646 - Samacá</t>
  </si>
  <si>
    <t>San Eduardo</t>
  </si>
  <si>
    <t>15660 - San Eduardo</t>
  </si>
  <si>
    <t>San José de Pare</t>
  </si>
  <si>
    <t>15664 - San José de Pare</t>
  </si>
  <si>
    <t>San Luis de Gaceno</t>
  </si>
  <si>
    <t>15667 - San Luis de Gaceno</t>
  </si>
  <si>
    <t>San Mateo</t>
  </si>
  <si>
    <t>15673 - San Mateo</t>
  </si>
  <si>
    <t>San Miguel de Sema</t>
  </si>
  <si>
    <t>15676 - San Miguel de Sema</t>
  </si>
  <si>
    <t>San Pablo de Borbur</t>
  </si>
  <si>
    <t>15681 - San Pablo de Borbur</t>
  </si>
  <si>
    <t>Santa María</t>
  </si>
  <si>
    <t>15690 - Santa María</t>
  </si>
  <si>
    <t>Santa Rosa de Viterbo</t>
  </si>
  <si>
    <t>15693 - Santa Rosa de Viterbo</t>
  </si>
  <si>
    <t>Santa Sofía</t>
  </si>
  <si>
    <t>15696 - Santa Sofía</t>
  </si>
  <si>
    <t>Santana</t>
  </si>
  <si>
    <t>15686 - Santana</t>
  </si>
  <si>
    <t>Sativanorte</t>
  </si>
  <si>
    <t>15720 - Sativanorte</t>
  </si>
  <si>
    <t>Sativasur</t>
  </si>
  <si>
    <t>15723 - Sativasur</t>
  </si>
  <si>
    <t>Siachoque</t>
  </si>
  <si>
    <t>15740 - Siachoque</t>
  </si>
  <si>
    <t>Soatá</t>
  </si>
  <si>
    <t>15753 - Soatá</t>
  </si>
  <si>
    <t>Socha</t>
  </si>
  <si>
    <t>15757 - Socha</t>
  </si>
  <si>
    <t>Socotá</t>
  </si>
  <si>
    <t>15755 - Socotá</t>
  </si>
  <si>
    <t>Sogamoso</t>
  </si>
  <si>
    <t>15759 - Sogamoso</t>
  </si>
  <si>
    <t>Somondoco</t>
  </si>
  <si>
    <t>15761 - Somondoco</t>
  </si>
  <si>
    <t>Sora</t>
  </si>
  <si>
    <t>15762 - Sora</t>
  </si>
  <si>
    <t>Soracá</t>
  </si>
  <si>
    <t>15764 - Soracá</t>
  </si>
  <si>
    <t>Sotaquirá</t>
  </si>
  <si>
    <t>15763 - Sotaquirá</t>
  </si>
  <si>
    <t>Susacón</t>
  </si>
  <si>
    <t>15774 - Susacón</t>
  </si>
  <si>
    <t>Sutamarchán</t>
  </si>
  <si>
    <t>15776 - Sutamarchán</t>
  </si>
  <si>
    <t>Sutatenza</t>
  </si>
  <si>
    <t>15778 - Sutatenza</t>
  </si>
  <si>
    <t>Tasco</t>
  </si>
  <si>
    <t>15790 - Tasco</t>
  </si>
  <si>
    <t>Tenza</t>
  </si>
  <si>
    <t>15798 - Tenza</t>
  </si>
  <si>
    <t>Tibaná</t>
  </si>
  <si>
    <t>15804 - Tibaná</t>
  </si>
  <si>
    <t>Tibasosa</t>
  </si>
  <si>
    <t>15806 - Tibasosa</t>
  </si>
  <si>
    <t>Tinjacá</t>
  </si>
  <si>
    <t>15808 - Tinjacá</t>
  </si>
  <si>
    <t>Tipacoque</t>
  </si>
  <si>
    <t>15810 - Tipacoque</t>
  </si>
  <si>
    <t>Toca</t>
  </si>
  <si>
    <t>15814 - Toca</t>
  </si>
  <si>
    <t>Togüí</t>
  </si>
  <si>
    <t>15816 - Togüí</t>
  </si>
  <si>
    <t>Tópaga</t>
  </si>
  <si>
    <t>15820 - Tópaga</t>
  </si>
  <si>
    <t>Tota</t>
  </si>
  <si>
    <t>15822 - Tota</t>
  </si>
  <si>
    <t>Tunja</t>
  </si>
  <si>
    <t>15001 - Tunja</t>
  </si>
  <si>
    <t>Tununguá</t>
  </si>
  <si>
    <t>15832 - Tununguá</t>
  </si>
  <si>
    <t>Turmequé</t>
  </si>
  <si>
    <t>15835 - Turmequé</t>
  </si>
  <si>
    <t>Tuta</t>
  </si>
  <si>
    <t>15837 - Tuta</t>
  </si>
  <si>
    <t>Tutazá</t>
  </si>
  <si>
    <t>15839 - Tutazá</t>
  </si>
  <si>
    <t>Úmbita</t>
  </si>
  <si>
    <t>15842 - Úmbita</t>
  </si>
  <si>
    <t>Ventaquemada</t>
  </si>
  <si>
    <t>15861 - Ventaquemada</t>
  </si>
  <si>
    <t>Villa de Leyva</t>
  </si>
  <si>
    <t>15407 - Villa de Leyva</t>
  </si>
  <si>
    <t>Viracachá</t>
  </si>
  <si>
    <t>15879 - Viracachá</t>
  </si>
  <si>
    <t>Valor Agregado</t>
  </si>
  <si>
    <t>Código</t>
  </si>
  <si>
    <t>Matrículas</t>
  </si>
  <si>
    <t>Renovaciones</t>
  </si>
  <si>
    <t>Cancelaciones</t>
  </si>
  <si>
    <t>COMFABOY</t>
  </si>
  <si>
    <t>Cobertura</t>
  </si>
  <si>
    <t>Calidad</t>
  </si>
  <si>
    <t>Finanzas</t>
  </si>
  <si>
    <t>Salud</t>
  </si>
  <si>
    <t>Riesgo</t>
  </si>
  <si>
    <t>Bajo</t>
  </si>
  <si>
    <t>Medio</t>
  </si>
  <si>
    <t>Alto</t>
  </si>
  <si>
    <t>Sin riesgo</t>
  </si>
  <si>
    <t>Seguridad social</t>
  </si>
  <si>
    <t>Agua</t>
  </si>
  <si>
    <t>Población</t>
  </si>
  <si>
    <t>Agropecuario</t>
  </si>
  <si>
    <t>VA_2024</t>
  </si>
  <si>
    <t>Mat_2024</t>
  </si>
  <si>
    <t>Ren_2024</t>
  </si>
  <si>
    <t>Can_2024</t>
  </si>
  <si>
    <t>Comf_Empresas</t>
  </si>
  <si>
    <t>Comf_Empleos</t>
  </si>
  <si>
    <t>N_Hombres</t>
  </si>
  <si>
    <t>N_Mujeres</t>
  </si>
  <si>
    <t>N_Total</t>
  </si>
  <si>
    <t>Fin_Captaciones</t>
  </si>
  <si>
    <t>Fin_Colocaciones</t>
  </si>
  <si>
    <t>Fin_FINAGRO</t>
  </si>
  <si>
    <t>Fin_BANCOLDEX</t>
  </si>
  <si>
    <t>Prod(ton)_2023</t>
  </si>
  <si>
    <t>ICM_2023</t>
  </si>
  <si>
    <t>Bovino_2024</t>
  </si>
  <si>
    <t>Porcino_2021</t>
  </si>
  <si>
    <t>Bufalos_2021</t>
  </si>
  <si>
    <t>Equino_2021</t>
  </si>
  <si>
    <t>Caprino_2021</t>
  </si>
  <si>
    <t>Ovino_2021</t>
  </si>
  <si>
    <t>Aves_2022</t>
  </si>
  <si>
    <t>Matrículas_2024</t>
  </si>
  <si>
    <t>Establecimientos_2024</t>
  </si>
  <si>
    <t>ICFES_2024</t>
  </si>
  <si>
    <t>IPS_2024</t>
  </si>
  <si>
    <t>Ambulancias_2024</t>
  </si>
  <si>
    <t>Salas_2024</t>
  </si>
  <si>
    <t>Camas_2024</t>
  </si>
  <si>
    <t>Contributivo_2024</t>
  </si>
  <si>
    <t>Especial_2024</t>
  </si>
  <si>
    <t>Subisidiado_2024</t>
  </si>
  <si>
    <t>Acueductos_2024</t>
  </si>
  <si>
    <t>Riesgo_2024</t>
  </si>
  <si>
    <t>Eventos_2024</t>
  </si>
  <si>
    <t>15897 - Zetaquirá</t>
  </si>
  <si>
    <t>Zetaquirá</t>
  </si>
  <si>
    <t>Departamento</t>
  </si>
  <si>
    <t>15 - Boyacá</t>
  </si>
  <si>
    <t>Municipio</t>
  </si>
  <si>
    <t>Participación</t>
  </si>
  <si>
    <t>ENTORNO ECONÓMICO MUNICIPAL COMPARATIVO EN BOYACÁ</t>
  </si>
  <si>
    <t>Municipio de</t>
  </si>
  <si>
    <t>Provincias</t>
  </si>
  <si>
    <t>comparado con el</t>
  </si>
  <si>
    <t>Matriculadas</t>
  </si>
  <si>
    <t>Renovadas</t>
  </si>
  <si>
    <t>Canceladas</t>
  </si>
  <si>
    <t>Agrícola (ton)_2023</t>
  </si>
  <si>
    <t>Tejido empresarial 2024</t>
  </si>
  <si>
    <t>Financiamiento de la economía</t>
  </si>
  <si>
    <t>Captaciones</t>
  </si>
  <si>
    <t>Colocaciones</t>
  </si>
  <si>
    <t>Finagro</t>
  </si>
  <si>
    <t>Bancóldex</t>
  </si>
  <si>
    <t>Competitividad</t>
  </si>
  <si>
    <t>ICM</t>
  </si>
  <si>
    <t>IMC</t>
  </si>
  <si>
    <t>Instituciones</t>
  </si>
  <si>
    <t>Infraestructura y equipamiento</t>
  </si>
  <si>
    <t>Educación media y básica</t>
  </si>
  <si>
    <t>Sistema financiero</t>
  </si>
  <si>
    <t>Productividad y dinámica empresarial</t>
  </si>
  <si>
    <t>Insti</t>
  </si>
  <si>
    <t>Infra</t>
  </si>
  <si>
    <t>Sosten</t>
  </si>
  <si>
    <t>Educa</t>
  </si>
  <si>
    <t>SisFin</t>
  </si>
  <si>
    <t>Prod</t>
  </si>
  <si>
    <t>Sostenibilidad ambiental</t>
  </si>
  <si>
    <t>ENTORNO SOCIAL MUNICIPAL COMPARATIVO EN BOYACÁ</t>
  </si>
  <si>
    <t>Hombres</t>
  </si>
  <si>
    <t>Mujeres</t>
  </si>
  <si>
    <t>Total</t>
  </si>
  <si>
    <t>60 o mas</t>
  </si>
  <si>
    <t>27-59</t>
  </si>
  <si>
    <t>18-26</t>
  </si>
  <si>
    <t>15-17</t>
  </si>
  <si>
    <t>7-14</t>
  </si>
  <si>
    <t>0-6</t>
  </si>
  <si>
    <t>0-6años</t>
  </si>
  <si>
    <t>7-14años</t>
  </si>
  <si>
    <t>15-17años</t>
  </si>
  <si>
    <t>18-26años</t>
  </si>
  <si>
    <t>27-59años</t>
  </si>
  <si>
    <t>60 o masaños</t>
  </si>
  <si>
    <t>No. Empresas</t>
  </si>
  <si>
    <t>No. Empleos</t>
  </si>
  <si>
    <t>Educacion</t>
  </si>
  <si>
    <t>Establecimientos</t>
  </si>
  <si>
    <t>Puntaje ICFES</t>
  </si>
  <si>
    <t>No. IPS</t>
  </si>
  <si>
    <t>Ambulancias</t>
  </si>
  <si>
    <t>Salas</t>
  </si>
  <si>
    <t>Camas</t>
  </si>
  <si>
    <t>Contributivo</t>
  </si>
  <si>
    <t>Especial</t>
  </si>
  <si>
    <t>Subsidiado</t>
  </si>
  <si>
    <t>ENTORNO AMBIENTAL MUNICIPAL COMPARATIVO EN BOYACÁ</t>
  </si>
  <si>
    <t>Acueductos</t>
  </si>
  <si>
    <t>Eventos</t>
  </si>
  <si>
    <t>Riesgo de calidad de agua para consumo humano</t>
  </si>
  <si>
    <t>PIB_2020</t>
  </si>
  <si>
    <t>PIB_2021</t>
  </si>
  <si>
    <t>PIB_2022</t>
  </si>
  <si>
    <t>PIB_2023</t>
  </si>
  <si>
    <t>PIB_2024</t>
  </si>
  <si>
    <t>PIBpc_2020</t>
  </si>
  <si>
    <t>PIBpc_2021</t>
  </si>
  <si>
    <t>PIBpc_2022</t>
  </si>
  <si>
    <t>PIBpc_2023</t>
  </si>
  <si>
    <t>PIBpc_2024</t>
  </si>
  <si>
    <t>TD_2020</t>
  </si>
  <si>
    <t>TD_2021</t>
  </si>
  <si>
    <t>TD_2022</t>
  </si>
  <si>
    <t>TD_2023</t>
  </si>
  <si>
    <t>TD_2024</t>
  </si>
  <si>
    <t>PbM$_2021</t>
  </si>
  <si>
    <t>PbM$_2022</t>
  </si>
  <si>
    <t>PbM$_2023</t>
  </si>
  <si>
    <t>Gini_2021</t>
  </si>
  <si>
    <t>Gini_2022</t>
  </si>
  <si>
    <t>Gini_2023</t>
  </si>
  <si>
    <t>PbMd_2020</t>
  </si>
  <si>
    <t>PbMd_2021</t>
  </si>
  <si>
    <t>PbMd_2022</t>
  </si>
  <si>
    <t>PbMd_2023</t>
  </si>
  <si>
    <t>PbMd_2024</t>
  </si>
  <si>
    <t>ICD_2020</t>
  </si>
  <si>
    <t>ICD_2021</t>
  </si>
  <si>
    <t>ICD_2022</t>
  </si>
  <si>
    <t>ICD_2023</t>
  </si>
  <si>
    <t>ICD_2024</t>
  </si>
  <si>
    <t>N_2020</t>
  </si>
  <si>
    <t>N_2021</t>
  </si>
  <si>
    <t>N_2022</t>
  </si>
  <si>
    <t>N_2023</t>
  </si>
  <si>
    <t>N_2024</t>
  </si>
  <si>
    <t>Amazonas</t>
  </si>
  <si>
    <t>Antioquia</t>
  </si>
  <si>
    <t>Arauca</t>
  </si>
  <si>
    <t>Atlántico</t>
  </si>
  <si>
    <t>Bogotá D.C.</t>
  </si>
  <si>
    <t>Bolívar</t>
  </si>
  <si>
    <t>Caquetá</t>
  </si>
  <si>
    <t>Casanare</t>
  </si>
  <si>
    <t>Cauca</t>
  </si>
  <si>
    <t>Cesar</t>
  </si>
  <si>
    <t>Chocó</t>
  </si>
  <si>
    <t>Córdoba</t>
  </si>
  <si>
    <t>Cundinamarca</t>
  </si>
  <si>
    <t>Guainía</t>
  </si>
  <si>
    <t>Guaviare</t>
  </si>
  <si>
    <t>Huila</t>
  </si>
  <si>
    <t>La Guajira</t>
  </si>
  <si>
    <t>Magdalena</t>
  </si>
  <si>
    <t>Meta</t>
  </si>
  <si>
    <t>Nariño</t>
  </si>
  <si>
    <t>Norte de Santander</t>
  </si>
  <si>
    <t>Putumayo</t>
  </si>
  <si>
    <t>Quindío</t>
  </si>
  <si>
    <t>Risaralda</t>
  </si>
  <si>
    <t>San Andrés, Providencia y Santa Catalina (Archipiélago)</t>
  </si>
  <si>
    <t>Santander</t>
  </si>
  <si>
    <t>Sucre</t>
  </si>
  <si>
    <t>Tolima</t>
  </si>
  <si>
    <t>Valle del Cauca</t>
  </si>
  <si>
    <t>Vaupés</t>
  </si>
  <si>
    <t>Vichada</t>
  </si>
  <si>
    <t>PRINCIPALES VARIABLES ECONÓMICAS Y SOCIALES DE BOYACÁ</t>
  </si>
  <si>
    <t>Departamento de</t>
  </si>
  <si>
    <t>comparado con</t>
  </si>
  <si>
    <t>Colombia</t>
  </si>
  <si>
    <t>PIB (millones)</t>
  </si>
  <si>
    <t>ICD</t>
  </si>
  <si>
    <t>Pobreza Monetaria</t>
  </si>
  <si>
    <t>Pobreza Multidimensional</t>
  </si>
  <si>
    <t>Gini</t>
  </si>
  <si>
    <t>Desempleo</t>
  </si>
  <si>
    <t>Grandes ramas de actividad</t>
  </si>
  <si>
    <t>A</t>
  </si>
  <si>
    <t>Agricultura, ganadería, caza, silvicultura y pesca</t>
  </si>
  <si>
    <t>B</t>
  </si>
  <si>
    <t>Explotación de minas y canteras</t>
  </si>
  <si>
    <t>C</t>
  </si>
  <si>
    <t>Industria Manufacturera</t>
  </si>
  <si>
    <t>D</t>
  </si>
  <si>
    <t>Suministro de electricidad, gas y vapor y aire acond.</t>
  </si>
  <si>
    <t>E</t>
  </si>
  <si>
    <t>Destribución de agua, evacuación y tratamiento de aguas residuales…</t>
  </si>
  <si>
    <t>F</t>
  </si>
  <si>
    <t>Construcción</t>
  </si>
  <si>
    <t>G</t>
  </si>
  <si>
    <t>Comercio al por mayor y menor, reparación de vehículos…</t>
  </si>
  <si>
    <t>H</t>
  </si>
  <si>
    <t>Transporte y almacenamiento</t>
  </si>
  <si>
    <t>I</t>
  </si>
  <si>
    <t>Alojamiento y servicios de comidas</t>
  </si>
  <si>
    <t>J</t>
  </si>
  <si>
    <t>Información y comunicaciones</t>
  </si>
  <si>
    <t>K</t>
  </si>
  <si>
    <t>Actividades financieras y de seguros</t>
  </si>
  <si>
    <t>L</t>
  </si>
  <si>
    <t>Actividades inmobiliarias</t>
  </si>
  <si>
    <t>M</t>
  </si>
  <si>
    <t>Actividades profesionales, científicas y técnicas</t>
  </si>
  <si>
    <t>N</t>
  </si>
  <si>
    <t>Actividades de servicios administrativos y de apoyo</t>
  </si>
  <si>
    <t>O</t>
  </si>
  <si>
    <t>Administración pública y defensa, planes de seguridad social…</t>
  </si>
  <si>
    <t>P</t>
  </si>
  <si>
    <t>Educación</t>
  </si>
  <si>
    <t>Q</t>
  </si>
  <si>
    <t>Actividades de atención de la salud humana y de asistencia social</t>
  </si>
  <si>
    <t>R</t>
  </si>
  <si>
    <t>Actividades artísticas, entretenimiento y recreación</t>
  </si>
  <si>
    <t>S</t>
  </si>
  <si>
    <t>Otras actividades de servicios</t>
  </si>
  <si>
    <t>Persona Natural</t>
  </si>
  <si>
    <t>Sociedad Limitada</t>
  </si>
  <si>
    <t>Sociedad Anónima</t>
  </si>
  <si>
    <t>Sociedad en Comandita Simple</t>
  </si>
  <si>
    <t>Sociedad en Comandita Acciones</t>
  </si>
  <si>
    <t>Empresa Asociativa de Trabajo</t>
  </si>
  <si>
    <t>Sociedad Civil</t>
  </si>
  <si>
    <t>Empresa Unipersonal</t>
  </si>
  <si>
    <t>Entidad sin Ánimo de Lucro</t>
  </si>
  <si>
    <t>Empresa de Economia Solidaria</t>
  </si>
  <si>
    <t>Org. Solidaria</t>
  </si>
  <si>
    <t>Sociedad Agraria de Transformación</t>
  </si>
  <si>
    <t>Sociedad por Acciones Simplificada</t>
  </si>
  <si>
    <t>Micro Empresa</t>
  </si>
  <si>
    <t>Pequeña Empresa</t>
  </si>
  <si>
    <t>Mediana Empresa</t>
  </si>
  <si>
    <t>Gran Empresa</t>
  </si>
  <si>
    <t>ME</t>
  </si>
  <si>
    <t>PE</t>
  </si>
  <si>
    <t>GE</t>
  </si>
  <si>
    <t>MD</t>
  </si>
  <si>
    <t>Etiqueta</t>
  </si>
  <si>
    <t>TEJIDO EMPRESARIAL POR ACTIVIDAD ECONÓMICA, TIPO DE EMPRESA Y DE COMERCIANTE</t>
  </si>
  <si>
    <t>Comparativo entre Cámaras de Comercio</t>
  </si>
  <si>
    <t>frente a</t>
  </si>
  <si>
    <t>Actividad Económica</t>
  </si>
  <si>
    <t>Con la variable</t>
  </si>
  <si>
    <t xml:space="preserve">Tejido empresarial en la Cámara de Comercio de </t>
  </si>
  <si>
    <t xml:space="preserve">frente a la Cámara de Comercio de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</si>
</sst>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* #,##0_-;\-* #,##0_-;_-* &quot;-&quot;??_-;_-@_-"/>
    <numFmt numFmtId="165" formatCode="0%;0%"/>
    <numFmt numFmtId="166" formatCode="0.0"/>
    <numFmt numFmtId="167" formatCode="0.000"/>
    <numFmt numFmtId="168" formatCode="0.0%"/>
  </numFmts>
  <fonts count="4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Times New Roman"/>
      <family val="1"/>
    </font>
    <font>
      <sz val="8"/>
      <color theme="1"/>
      <name val="Times New Roman"/>
      <family val="1"/>
    </font>
    <font>
      <b/>
      <sz val="8"/>
      <color theme="0"/>
      <name val="Times New Roman"/>
      <family val="1"/>
    </font>
    <font>
      <sz val="16"/>
      <color theme="1"/>
      <name val="Aptos Display"/>
      <family val="2"/>
    </font>
    <font>
      <sz val="11"/>
      <color theme="1"/>
      <name val="Aptos Narrow"/>
      <family val="2"/>
    </font>
    <font>
      <b/>
      <sz val="18"/>
      <color theme="1"/>
      <name val="Aptos Narrow"/>
      <family val="2"/>
    </font>
    <font>
      <b/>
      <sz val="11"/>
      <color theme="1"/>
      <name val="Aptos Narrow"/>
      <family val="2"/>
    </font>
    <font>
      <sz val="8"/>
      <name val="Calibri"/>
      <family val="2"/>
      <scheme val="minor"/>
    </font>
    <font>
      <b/>
      <sz val="11"/>
      <color theme="0"/>
      <name val="Bahnschrift SemiBold Condensed"/>
      <family val="2"/>
    </font>
    <font>
      <b/>
      <sz val="12"/>
      <color theme="0"/>
      <name val="Aptos Display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8"/>
      <name val="Times New Roman"/>
      <family val="1"/>
    </font>
    <font>
      <b/>
      <sz val="9"/>
      <color indexed="81"/>
      <name val="Tahoma"/>
      <family val="2"/>
    </font>
    <font>
      <sz val="22"/>
      <color theme="0"/>
      <name val="Aptos Display"/>
      <family val="2"/>
    </font>
    <font>
      <sz val="14"/>
      <color theme="0"/>
      <name val="Calibri"/>
      <family val="2"/>
      <scheme val="minor"/>
    </font>
    <font>
      <sz val="14"/>
      <color theme="0"/>
      <name val="Aptos Narrow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0"/>
      <name val="Arial"/>
      <family val="2"/>
    </font>
    <font>
      <sz val="12"/>
      <name val="Calibri"/>
      <family val="2"/>
      <scheme val="minor"/>
    </font>
    <font>
      <sz val="10"/>
      <name val="Arial"/>
      <family val="2"/>
    </font>
    <font>
      <sz val="14"/>
      <color theme="1"/>
      <name val="Aptos Narrow"/>
      <family val="2"/>
    </font>
    <font>
      <b/>
      <sz val="14"/>
      <color theme="1"/>
      <name val="Aptos Narrow"/>
      <family val="2"/>
    </font>
    <font>
      <b/>
      <sz val="12"/>
      <color theme="0"/>
      <name val="Aptos Narrow"/>
      <family val="2"/>
    </font>
    <font>
      <sz val="16"/>
      <color theme="1"/>
      <name val="Aptos Narrow"/>
      <family val="2"/>
    </font>
    <font>
      <b/>
      <sz val="18"/>
      <color theme="0"/>
      <name val="Aptos Display"/>
      <family val="2"/>
    </font>
    <font>
      <sz val="11"/>
      <color theme="0"/>
      <name val="Aptos Narrow"/>
      <family val="2"/>
    </font>
    <font>
      <sz val="11"/>
      <color theme="0"/>
      <name val="Aptos Display"/>
      <family val="2"/>
    </font>
    <font>
      <b/>
      <sz val="18"/>
      <color theme="0"/>
      <name val="Aptos Narrow"/>
      <family val="2"/>
    </font>
    <font>
      <sz val="16"/>
      <color theme="0"/>
      <name val="Aptos Display"/>
      <family val="2"/>
    </font>
    <font>
      <b/>
      <sz val="14"/>
      <color theme="0"/>
      <name val="Aptos Narrow"/>
      <family val="2"/>
    </font>
    <font>
      <b/>
      <sz val="16"/>
      <color theme="0"/>
      <name val="Aptos Display"/>
      <family val="2"/>
    </font>
    <font>
      <b/>
      <sz val="14"/>
      <color theme="0"/>
      <name val="Aptos Display"/>
      <family val="2"/>
    </font>
    <font>
      <b/>
      <sz val="11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scheme val="minor"/>
    </font>
    <font>
      <sz val="14"/>
      <name val="Aptos Narrow"/>
      <family val="2"/>
    </font>
  </fonts>
  <fills count="20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59999389629810485"/>
        <bgColor rgb="FFC00000"/>
      </patternFill>
    </fill>
    <fill>
      <patternFill patternType="solid">
        <fgColor theme="8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8" tint="-0.249977111117893"/>
        <bgColor indexed="65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theme="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3" fillId="6" borderId="0" applyNumberFormat="0" applyBorder="0" applyAlignment="0" applyProtection="0"/>
    <xf numFmtId="0" fontId="13" fillId="8" borderId="0" applyNumberFormat="0" applyBorder="0" applyAlignment="0" applyProtection="0"/>
    <xf numFmtId="0" fontId="1" fillId="9" borderId="0" applyNumberFormat="0" applyBorder="0" applyAlignment="0" applyProtection="0"/>
    <xf numFmtId="9" fontId="22" fillId="0" borderId="0" applyFont="0" applyFill="0" applyBorder="0" applyAlignment="0" applyProtection="0"/>
    <xf numFmtId="0" fontId="22" fillId="0" borderId="0"/>
    <xf numFmtId="0" fontId="24" fillId="0" borderId="0"/>
  </cellStyleXfs>
  <cellXfs count="170">
    <xf numFmtId="0" fontId="0" fillId="0" borderId="0" xfId="0"/>
    <xf numFmtId="0" fontId="3" fillId="0" borderId="0" xfId="0" applyFont="1"/>
    <xf numFmtId="164" fontId="3" fillId="0" borderId="0" xfId="1" applyNumberFormat="1" applyFont="1"/>
    <xf numFmtId="164" fontId="3" fillId="2" borderId="0" xfId="1" applyNumberFormat="1" applyFont="1" applyFill="1"/>
    <xf numFmtId="164" fontId="3" fillId="4" borderId="0" xfId="1" applyNumberFormat="1" applyFont="1" applyFill="1" applyAlignment="1"/>
    <xf numFmtId="0" fontId="3" fillId="4" borderId="0" xfId="1" applyNumberFormat="1" applyFont="1" applyFill="1"/>
    <xf numFmtId="164" fontId="2" fillId="4" borderId="0" xfId="1" applyNumberFormat="1" applyFont="1" applyFill="1" applyBorder="1" applyAlignment="1"/>
    <xf numFmtId="164" fontId="3" fillId="4" borderId="0" xfId="1" applyNumberFormat="1" applyFont="1" applyFill="1"/>
    <xf numFmtId="164" fontId="3" fillId="4" borderId="0" xfId="1" applyNumberFormat="1" applyFont="1" applyFill="1" applyAlignment="1">
      <alignment vertical="center"/>
    </xf>
    <xf numFmtId="0" fontId="3" fillId="4" borderId="0" xfId="1" applyNumberFormat="1" applyFont="1" applyFill="1" applyAlignment="1">
      <alignment vertical="center"/>
    </xf>
    <xf numFmtId="0" fontId="10" fillId="5" borderId="0" xfId="0" applyFont="1" applyFill="1" applyAlignment="1">
      <alignment horizontal="center" vertical="center" wrapText="1"/>
    </xf>
    <xf numFmtId="0" fontId="14" fillId="7" borderId="2" xfId="0" quotePrefix="1" applyFont="1" applyFill="1" applyBorder="1" applyAlignment="1">
      <alignment horizontal="center" vertical="center" wrapText="1"/>
    </xf>
    <xf numFmtId="164" fontId="3" fillId="7" borderId="0" xfId="1" applyNumberFormat="1" applyFont="1" applyFill="1"/>
    <xf numFmtId="3" fontId="2" fillId="7" borderId="0" xfId="0" applyNumberFormat="1" applyFont="1" applyFill="1" applyAlignment="1">
      <alignment horizontal="right" vertical="center"/>
    </xf>
    <xf numFmtId="0" fontId="13" fillId="10" borderId="0" xfId="0" applyFont="1" applyFill="1"/>
    <xf numFmtId="0" fontId="17" fillId="10" borderId="0" xfId="0" applyFont="1" applyFill="1"/>
    <xf numFmtId="0" fontId="18" fillId="10" borderId="0" xfId="0" applyFont="1" applyFill="1"/>
    <xf numFmtId="0" fontId="13" fillId="10" borderId="0" xfId="0" applyFont="1" applyFill="1" applyAlignment="1">
      <alignment vertical="center" wrapText="1"/>
    </xf>
    <xf numFmtId="0" fontId="16" fillId="10" borderId="0" xfId="0" applyFont="1" applyFill="1"/>
    <xf numFmtId="3" fontId="23" fillId="2" borderId="3" xfId="8" quotePrefix="1" applyNumberFormat="1" applyFont="1" applyFill="1" applyBorder="1" applyAlignment="1">
      <alignment horizontal="right" vertical="center"/>
    </xf>
    <xf numFmtId="166" fontId="23" fillId="11" borderId="3" xfId="9" applyNumberFormat="1" applyFont="1" applyFill="1" applyBorder="1" applyAlignment="1">
      <alignment horizontal="right" vertical="center"/>
    </xf>
    <xf numFmtId="166" fontId="23" fillId="11" borderId="3" xfId="3" applyNumberFormat="1" applyFont="1" applyFill="1" applyBorder="1" applyAlignment="1">
      <alignment horizontal="center" vertical="center"/>
    </xf>
    <xf numFmtId="0" fontId="23" fillId="11" borderId="3" xfId="0" applyFont="1" applyFill="1" applyBorder="1" applyAlignment="1">
      <alignment horizontal="center" vertical="center"/>
    </xf>
    <xf numFmtId="167" fontId="23" fillId="11" borderId="3" xfId="0" applyNumberFormat="1" applyFont="1" applyFill="1" applyBorder="1" applyAlignment="1">
      <alignment horizontal="center" vertical="center"/>
    </xf>
    <xf numFmtId="166" fontId="23" fillId="11" borderId="3" xfId="7" applyNumberFormat="1" applyFont="1" applyFill="1" applyBorder="1" applyAlignment="1">
      <alignment horizontal="center"/>
    </xf>
    <xf numFmtId="0" fontId="23" fillId="11" borderId="3" xfId="7" applyNumberFormat="1" applyFont="1" applyFill="1" applyBorder="1" applyAlignment="1">
      <alignment horizontal="center"/>
    </xf>
    <xf numFmtId="1" fontId="19" fillId="2" borderId="3" xfId="0" applyNumberFormat="1" applyFont="1" applyFill="1" applyBorder="1" applyAlignment="1">
      <alignment horizontal="right"/>
    </xf>
    <xf numFmtId="1" fontId="23" fillId="2" borderId="3" xfId="7" applyNumberFormat="1" applyFont="1" applyFill="1" applyBorder="1" applyAlignment="1">
      <alignment horizontal="right"/>
    </xf>
    <xf numFmtId="3" fontId="19" fillId="11" borderId="3" xfId="0" applyNumberFormat="1" applyFont="1" applyFill="1" applyBorder="1" applyAlignment="1">
      <alignment horizontal="right"/>
    </xf>
    <xf numFmtId="3" fontId="19" fillId="2" borderId="3" xfId="0" applyNumberFormat="1" applyFont="1" applyFill="1" applyBorder="1" applyAlignment="1">
      <alignment horizontal="right" vertical="center"/>
    </xf>
    <xf numFmtId="0" fontId="19" fillId="11" borderId="3" xfId="0" applyFont="1" applyFill="1" applyBorder="1"/>
    <xf numFmtId="166" fontId="23" fillId="11" borderId="3" xfId="0" applyNumberFormat="1" applyFont="1" applyFill="1" applyBorder="1" applyAlignment="1">
      <alignment horizontal="center"/>
    </xf>
    <xf numFmtId="1" fontId="23" fillId="2" borderId="3" xfId="0" applyNumberFormat="1" applyFont="1" applyFill="1" applyBorder="1" applyAlignment="1">
      <alignment horizontal="right"/>
    </xf>
    <xf numFmtId="3" fontId="19" fillId="11" borderId="3" xfId="0" applyNumberFormat="1" applyFont="1" applyFill="1" applyBorder="1" applyAlignment="1">
      <alignment horizontal="right" vertical="center"/>
    </xf>
    <xf numFmtId="3" fontId="23" fillId="2" borderId="3" xfId="8" applyNumberFormat="1" applyFont="1" applyFill="1" applyBorder="1" applyAlignment="1">
      <alignment horizontal="right" vertical="center"/>
    </xf>
    <xf numFmtId="166" fontId="23" fillId="11" borderId="3" xfId="3" applyNumberFormat="1" applyFont="1" applyFill="1" applyBorder="1" applyAlignment="1">
      <alignment horizontal="right"/>
    </xf>
    <xf numFmtId="0" fontId="23" fillId="11" borderId="3" xfId="3" applyNumberFormat="1" applyFont="1" applyFill="1" applyBorder="1" applyAlignment="1">
      <alignment horizontal="center" vertical="center"/>
    </xf>
    <xf numFmtId="167" fontId="23" fillId="11" borderId="3" xfId="3" applyNumberFormat="1" applyFont="1" applyFill="1" applyBorder="1" applyAlignment="1">
      <alignment horizontal="center" vertical="center"/>
    </xf>
    <xf numFmtId="0" fontId="6" fillId="10" borderId="0" xfId="0" applyFont="1" applyFill="1"/>
    <xf numFmtId="0" fontId="6" fillId="10" borderId="0" xfId="0" applyFont="1" applyFill="1" applyAlignment="1">
      <alignment horizontal="right"/>
    </xf>
    <xf numFmtId="164" fontId="6" fillId="10" borderId="0" xfId="0" applyNumberFormat="1" applyFont="1" applyFill="1"/>
    <xf numFmtId="0" fontId="23" fillId="3" borderId="4" xfId="8" quotePrefix="1" applyFont="1" applyFill="1" applyBorder="1" applyAlignment="1">
      <alignment horizontal="left"/>
    </xf>
    <xf numFmtId="0" fontId="23" fillId="12" borderId="4" xfId="8" applyFont="1" applyFill="1" applyBorder="1" applyAlignment="1">
      <alignment horizontal="left"/>
    </xf>
    <xf numFmtId="0" fontId="23" fillId="3" borderId="4" xfId="8" applyFont="1" applyFill="1" applyBorder="1" applyAlignment="1">
      <alignment horizontal="left"/>
    </xf>
    <xf numFmtId="0" fontId="23" fillId="12" borderId="4" xfId="8" quotePrefix="1" applyFont="1" applyFill="1" applyBorder="1" applyAlignment="1">
      <alignment horizontal="left"/>
    </xf>
    <xf numFmtId="3" fontId="19" fillId="11" borderId="5" xfId="0" applyNumberFormat="1" applyFont="1" applyFill="1" applyBorder="1" applyAlignment="1">
      <alignment horizontal="right"/>
    </xf>
    <xf numFmtId="3" fontId="19" fillId="11" borderId="5" xfId="0" applyNumberFormat="1" applyFont="1" applyFill="1" applyBorder="1" applyAlignment="1">
      <alignment horizontal="right" vertical="center"/>
    </xf>
    <xf numFmtId="0" fontId="19" fillId="0" borderId="6" xfId="0" applyFont="1" applyBorder="1"/>
    <xf numFmtId="0" fontId="20" fillId="2" borderId="7" xfId="0" applyFont="1" applyFill="1" applyBorder="1" applyAlignment="1">
      <alignment horizontal="center" vertical="center"/>
    </xf>
    <xf numFmtId="0" fontId="20" fillId="11" borderId="7" xfId="0" applyFont="1" applyFill="1" applyBorder="1" applyAlignment="1">
      <alignment horizontal="center" vertical="center"/>
    </xf>
    <xf numFmtId="0" fontId="21" fillId="11" borderId="7" xfId="0" applyFont="1" applyFill="1" applyBorder="1" applyAlignment="1">
      <alignment horizontal="center" vertical="center"/>
    </xf>
    <xf numFmtId="0" fontId="21" fillId="2" borderId="7" xfId="0" applyFont="1" applyFill="1" applyBorder="1" applyAlignment="1">
      <alignment horizontal="center" vertical="center"/>
    </xf>
    <xf numFmtId="1" fontId="21" fillId="11" borderId="7" xfId="7" applyNumberFormat="1" applyFont="1" applyFill="1" applyBorder="1" applyAlignment="1">
      <alignment horizontal="right"/>
    </xf>
    <xf numFmtId="1" fontId="21" fillId="11" borderId="8" xfId="7" applyNumberFormat="1" applyFont="1" applyFill="1" applyBorder="1" applyAlignment="1">
      <alignment horizontal="right"/>
    </xf>
    <xf numFmtId="0" fontId="23" fillId="12" borderId="9" xfId="8" applyFont="1" applyFill="1" applyBorder="1" applyAlignment="1">
      <alignment horizontal="left"/>
    </xf>
    <xf numFmtId="3" fontId="23" fillId="2" borderId="10" xfId="8" applyNumberFormat="1" applyFont="1" applyFill="1" applyBorder="1" applyAlignment="1">
      <alignment horizontal="right" vertical="center"/>
    </xf>
    <xf numFmtId="0" fontId="19" fillId="11" borderId="10" xfId="0" applyFont="1" applyFill="1" applyBorder="1"/>
    <xf numFmtId="166" fontId="23" fillId="11" borderId="10" xfId="0" applyNumberFormat="1" applyFont="1" applyFill="1" applyBorder="1" applyAlignment="1">
      <alignment horizontal="center"/>
    </xf>
    <xf numFmtId="1" fontId="23" fillId="2" borderId="10" xfId="0" applyNumberFormat="1" applyFont="1" applyFill="1" applyBorder="1" applyAlignment="1">
      <alignment horizontal="right"/>
    </xf>
    <xf numFmtId="1" fontId="19" fillId="2" borderId="10" xfId="0" applyNumberFormat="1" applyFont="1" applyFill="1" applyBorder="1" applyAlignment="1">
      <alignment horizontal="right"/>
    </xf>
    <xf numFmtId="3" fontId="19" fillId="11" borderId="10" xfId="0" applyNumberFormat="1" applyFont="1" applyFill="1" applyBorder="1" applyAlignment="1">
      <alignment horizontal="right" vertical="center"/>
    </xf>
    <xf numFmtId="3" fontId="19" fillId="11" borderId="11" xfId="0" applyNumberFormat="1" applyFont="1" applyFill="1" applyBorder="1" applyAlignment="1">
      <alignment horizontal="right" vertical="center"/>
    </xf>
    <xf numFmtId="0" fontId="25" fillId="10" borderId="0" xfId="0" applyFont="1" applyFill="1"/>
    <xf numFmtId="0" fontId="26" fillId="10" borderId="0" xfId="0" applyFont="1" applyFill="1" applyAlignment="1">
      <alignment vertical="center" wrapText="1"/>
    </xf>
    <xf numFmtId="0" fontId="25" fillId="10" borderId="0" xfId="0" applyFont="1" applyFill="1" applyAlignment="1">
      <alignment horizontal="right"/>
    </xf>
    <xf numFmtId="164" fontId="25" fillId="10" borderId="0" xfId="1" applyNumberFormat="1" applyFont="1" applyFill="1" applyAlignment="1">
      <alignment horizontal="right"/>
    </xf>
    <xf numFmtId="168" fontId="25" fillId="10" borderId="0" xfId="3" applyNumberFormat="1" applyFont="1" applyFill="1" applyAlignment="1">
      <alignment horizontal="right"/>
    </xf>
    <xf numFmtId="0" fontId="27" fillId="10" borderId="0" xfId="0" applyFont="1" applyFill="1" applyAlignment="1">
      <alignment vertical="center"/>
    </xf>
    <xf numFmtId="0" fontId="28" fillId="10" borderId="0" xfId="0" applyFont="1" applyFill="1"/>
    <xf numFmtId="0" fontId="18" fillId="8" borderId="0" xfId="5" applyFont="1" applyAlignment="1">
      <alignment horizontal="right"/>
    </xf>
    <xf numFmtId="0" fontId="18" fillId="8" borderId="0" xfId="5" applyFont="1"/>
    <xf numFmtId="0" fontId="25" fillId="9" borderId="0" xfId="6" applyFont="1" applyAlignment="1">
      <alignment horizontal="center"/>
    </xf>
    <xf numFmtId="164" fontId="25" fillId="9" borderId="0" xfId="6" applyNumberFormat="1" applyFont="1" applyAlignment="1">
      <alignment horizontal="right"/>
    </xf>
    <xf numFmtId="168" fontId="25" fillId="10" borderId="0" xfId="3" applyNumberFormat="1" applyFont="1" applyFill="1"/>
    <xf numFmtId="0" fontId="18" fillId="8" borderId="0" xfId="5" applyFont="1" applyAlignment="1">
      <alignment horizontal="center" vertical="center"/>
    </xf>
    <xf numFmtId="43" fontId="25" fillId="9" borderId="0" xfId="6" applyNumberFormat="1" applyFont="1" applyAlignment="1">
      <alignment horizontal="right"/>
    </xf>
    <xf numFmtId="0" fontId="7" fillId="10" borderId="0" xfId="0" applyFont="1" applyFill="1" applyAlignment="1">
      <alignment vertical="center" wrapText="1"/>
    </xf>
    <xf numFmtId="0" fontId="0" fillId="13" borderId="0" xfId="0" applyFill="1"/>
    <xf numFmtId="0" fontId="12" fillId="13" borderId="0" xfId="4" applyFont="1" applyFill="1" applyAlignment="1">
      <alignment horizontal="center" vertical="center"/>
    </xf>
    <xf numFmtId="0" fontId="6" fillId="13" borderId="0" xfId="0" applyFont="1" applyFill="1"/>
    <xf numFmtId="0" fontId="13" fillId="13" borderId="0" xfId="4" applyFill="1" applyAlignment="1">
      <alignment horizontal="left"/>
    </xf>
    <xf numFmtId="164" fontId="13" fillId="13" borderId="0" xfId="4" applyNumberFormat="1" applyFill="1" applyAlignment="1">
      <alignment horizontal="center" vertical="center"/>
    </xf>
    <xf numFmtId="0" fontId="6" fillId="13" borderId="0" xfId="0" applyFont="1" applyFill="1" applyAlignment="1">
      <alignment horizontal="right"/>
    </xf>
    <xf numFmtId="0" fontId="30" fillId="13" borderId="0" xfId="0" applyFont="1" applyFill="1"/>
    <xf numFmtId="0" fontId="30" fillId="13" borderId="0" xfId="0" applyFont="1" applyFill="1" applyAlignment="1">
      <alignment horizontal="left"/>
    </xf>
    <xf numFmtId="0" fontId="30" fillId="13" borderId="0" xfId="0" applyFont="1" applyFill="1" applyAlignment="1">
      <alignment horizontal="left" vertical="center"/>
    </xf>
    <xf numFmtId="0" fontId="30" fillId="13" borderId="0" xfId="0" applyFont="1" applyFill="1" applyAlignment="1">
      <alignment horizontal="right"/>
    </xf>
    <xf numFmtId="0" fontId="32" fillId="13" borderId="0" xfId="0" applyFont="1" applyFill="1" applyAlignment="1">
      <alignment vertical="center" wrapText="1"/>
    </xf>
    <xf numFmtId="0" fontId="8" fillId="10" borderId="0" xfId="0" applyFont="1" applyFill="1" applyAlignment="1">
      <alignment horizontal="right"/>
    </xf>
    <xf numFmtId="164" fontId="6" fillId="10" borderId="0" xfId="1" applyNumberFormat="1" applyFont="1" applyFill="1" applyAlignment="1">
      <alignment horizontal="right"/>
    </xf>
    <xf numFmtId="9" fontId="6" fillId="10" borderId="0" xfId="3" applyFont="1" applyFill="1" applyAlignment="1">
      <alignment horizontal="right"/>
    </xf>
    <xf numFmtId="0" fontId="8" fillId="10" borderId="0" xfId="0" applyFont="1" applyFill="1"/>
    <xf numFmtId="164" fontId="4" fillId="14" borderId="1" xfId="1" applyNumberFormat="1" applyFont="1" applyFill="1" applyBorder="1"/>
    <xf numFmtId="0" fontId="30" fillId="10" borderId="0" xfId="0" applyFont="1" applyFill="1"/>
    <xf numFmtId="0" fontId="31" fillId="15" borderId="0" xfId="0" applyFont="1" applyFill="1" applyAlignment="1" applyProtection="1">
      <alignment horizontal="center"/>
      <protection locked="0"/>
    </xf>
    <xf numFmtId="0" fontId="30" fillId="10" borderId="0" xfId="0" applyFont="1" applyFill="1" applyAlignment="1">
      <alignment horizontal="left"/>
    </xf>
    <xf numFmtId="0" fontId="31" fillId="15" borderId="0" xfId="0" applyFont="1" applyFill="1" applyAlignment="1" applyProtection="1">
      <alignment horizontal="center" vertical="center"/>
      <protection locked="0"/>
    </xf>
    <xf numFmtId="0" fontId="30" fillId="10" borderId="0" xfId="0" applyFont="1" applyFill="1" applyAlignment="1">
      <alignment horizontal="left" vertical="center"/>
    </xf>
    <xf numFmtId="0" fontId="30" fillId="10" borderId="0" xfId="0" applyFont="1" applyFill="1" applyAlignment="1">
      <alignment horizontal="right"/>
    </xf>
    <xf numFmtId="0" fontId="30" fillId="10" borderId="0" xfId="0" applyFont="1" applyFill="1" applyAlignment="1">
      <alignment vertical="center"/>
    </xf>
    <xf numFmtId="0" fontId="13" fillId="9" borderId="0" xfId="6" applyFont="1" applyAlignment="1">
      <alignment horizontal="left"/>
    </xf>
    <xf numFmtId="164" fontId="13" fillId="9" borderId="0" xfId="6" applyNumberFormat="1" applyFont="1" applyAlignment="1">
      <alignment horizontal="center" vertical="center"/>
    </xf>
    <xf numFmtId="0" fontId="18" fillId="9" borderId="0" xfId="6" applyFont="1" applyAlignment="1">
      <alignment horizontal="center"/>
    </xf>
    <xf numFmtId="164" fontId="18" fillId="9" borderId="0" xfId="6" applyNumberFormat="1" applyFont="1" applyAlignment="1">
      <alignment horizontal="right"/>
    </xf>
    <xf numFmtId="0" fontId="34" fillId="8" borderId="0" xfId="5" applyFont="1" applyAlignment="1">
      <alignment horizontal="center" vertical="center"/>
    </xf>
    <xf numFmtId="0" fontId="34" fillId="8" borderId="0" xfId="5" applyFont="1" applyAlignment="1">
      <alignment horizontal="right"/>
    </xf>
    <xf numFmtId="0" fontId="34" fillId="8" borderId="0" xfId="5" applyFont="1"/>
    <xf numFmtId="0" fontId="5" fillId="10" borderId="0" xfId="0" applyFont="1" applyFill="1"/>
    <xf numFmtId="0" fontId="32" fillId="10" borderId="0" xfId="0" applyFont="1" applyFill="1" applyAlignment="1">
      <alignment vertical="center" wrapText="1"/>
    </xf>
    <xf numFmtId="0" fontId="12" fillId="16" borderId="0" xfId="4" applyFont="1" applyFill="1" applyAlignment="1">
      <alignment horizontal="center" vertical="center"/>
    </xf>
    <xf numFmtId="0" fontId="6" fillId="10" borderId="0" xfId="0" quotePrefix="1" applyFont="1" applyFill="1" applyAlignment="1">
      <alignment horizontal="right"/>
    </xf>
    <xf numFmtId="164" fontId="6" fillId="10" borderId="0" xfId="1" quotePrefix="1" applyNumberFormat="1" applyFont="1" applyFill="1" applyAlignment="1">
      <alignment horizontal="right"/>
    </xf>
    <xf numFmtId="0" fontId="13" fillId="16" borderId="0" xfId="4" applyFill="1" applyAlignment="1">
      <alignment horizontal="left"/>
    </xf>
    <xf numFmtId="164" fontId="13" fillId="16" borderId="0" xfId="4" applyNumberFormat="1" applyFill="1" applyAlignment="1">
      <alignment horizontal="center" vertical="center"/>
    </xf>
    <xf numFmtId="0" fontId="12" fillId="16" borderId="0" xfId="4" applyFont="1" applyFill="1" applyAlignment="1">
      <alignment horizontal="left"/>
    </xf>
    <xf numFmtId="164" fontId="12" fillId="16" borderId="0" xfId="4" applyNumberFormat="1" applyFont="1" applyFill="1" applyAlignment="1">
      <alignment horizontal="center" vertical="center"/>
    </xf>
    <xf numFmtId="165" fontId="6" fillId="10" borderId="0" xfId="3" applyNumberFormat="1" applyFont="1" applyFill="1" applyAlignment="1">
      <alignment horizontal="right"/>
    </xf>
    <xf numFmtId="0" fontId="4" fillId="14" borderId="1" xfId="0" applyFont="1" applyFill="1" applyBorder="1"/>
    <xf numFmtId="0" fontId="12" fillId="17" borderId="0" xfId="4" applyFont="1" applyFill="1" applyAlignment="1">
      <alignment horizontal="center" vertical="center"/>
    </xf>
    <xf numFmtId="0" fontId="12" fillId="17" borderId="0" xfId="5" applyFont="1" applyFill="1" applyAlignment="1">
      <alignment horizontal="center" vertical="center"/>
    </xf>
    <xf numFmtId="164" fontId="0" fillId="0" borderId="0" xfId="1" applyNumberFormat="1" applyFont="1" applyBorder="1"/>
    <xf numFmtId="0" fontId="18" fillId="15" borderId="0" xfId="0" applyFont="1" applyFill="1" applyAlignment="1" applyProtection="1">
      <alignment horizontal="center"/>
      <protection locked="0"/>
    </xf>
    <xf numFmtId="0" fontId="18" fillId="15" borderId="0" xfId="0" applyFont="1" applyFill="1" applyAlignment="1" applyProtection="1">
      <alignment horizontal="center" vertical="center"/>
      <protection locked="0"/>
    </xf>
    <xf numFmtId="164" fontId="0" fillId="13" borderId="0" xfId="1" applyNumberFormat="1" applyFont="1" applyFill="1"/>
    <xf numFmtId="164" fontId="37" fillId="13" borderId="0" xfId="1" applyNumberFormat="1" applyFont="1" applyFill="1"/>
    <xf numFmtId="0" fontId="13" fillId="13" borderId="0" xfId="0" applyFont="1" applyFill="1"/>
    <xf numFmtId="0" fontId="38" fillId="13" borderId="0" xfId="0" applyFont="1" applyFill="1" applyAlignment="1">
      <alignment horizontal="center"/>
    </xf>
    <xf numFmtId="0" fontId="38" fillId="13" borderId="0" xfId="0" applyFont="1" applyFill="1"/>
    <xf numFmtId="0" fontId="0" fillId="3" borderId="0" xfId="0" applyFill="1"/>
    <xf numFmtId="0" fontId="37" fillId="3" borderId="0" xfId="0" applyFont="1" applyFill="1" applyAlignment="1">
      <alignment wrapText="1"/>
    </xf>
    <xf numFmtId="164" fontId="0" fillId="3" borderId="0" xfId="1" applyNumberFormat="1" applyFont="1" applyFill="1"/>
    <xf numFmtId="164" fontId="37" fillId="3" borderId="0" xfId="1" applyNumberFormat="1" applyFont="1" applyFill="1"/>
    <xf numFmtId="0" fontId="0" fillId="18" borderId="0" xfId="0" applyFill="1"/>
    <xf numFmtId="0" fontId="0" fillId="3" borderId="0" xfId="0" applyFill="1" applyAlignment="1">
      <alignment wrapText="1"/>
    </xf>
    <xf numFmtId="0" fontId="17" fillId="13" borderId="0" xfId="0" applyFont="1" applyFill="1" applyAlignment="1">
      <alignment vertical="center"/>
    </xf>
    <xf numFmtId="0" fontId="38" fillId="15" borderId="0" xfId="0" applyFont="1" applyFill="1" applyAlignment="1" applyProtection="1">
      <alignment horizontal="center"/>
      <protection locked="0"/>
    </xf>
    <xf numFmtId="0" fontId="13" fillId="18" borderId="0" xfId="0" applyFont="1" applyFill="1"/>
    <xf numFmtId="0" fontId="17" fillId="18" borderId="0" xfId="0" applyFont="1" applyFill="1"/>
    <xf numFmtId="0" fontId="41" fillId="18" borderId="0" xfId="0" applyFont="1" applyFill="1"/>
    <xf numFmtId="0" fontId="40" fillId="18" borderId="0" xfId="0" applyFont="1" applyFill="1"/>
    <xf numFmtId="0" fontId="42" fillId="18" borderId="0" xfId="0" applyFont="1" applyFill="1"/>
    <xf numFmtId="0" fontId="29" fillId="19" borderId="0" xfId="0" applyFont="1" applyFill="1" applyAlignment="1">
      <alignment vertical="center"/>
    </xf>
    <xf numFmtId="0" fontId="41" fillId="18" borderId="0" xfId="0" applyFont="1" applyFill="1" applyAlignment="1">
      <alignment vertical="center" wrapText="1"/>
    </xf>
    <xf numFmtId="164" fontId="0" fillId="18" borderId="0" xfId="1" applyNumberFormat="1" applyFont="1" applyFill="1"/>
    <xf numFmtId="164" fontId="0" fillId="0" borderId="0" xfId="1" applyNumberFormat="1" applyFont="1"/>
    <xf numFmtId="0" fontId="29" fillId="19" borderId="0" xfId="0" applyFont="1" applyFill="1" applyAlignment="1">
      <alignment horizontal="center" vertical="center"/>
    </xf>
    <xf numFmtId="0" fontId="40" fillId="18" borderId="0" xfId="0" applyFont="1" applyFill="1" applyAlignment="1">
      <alignment horizontal="center"/>
    </xf>
    <xf numFmtId="0" fontId="41" fillId="18" borderId="0" xfId="0" applyFont="1" applyFill="1" applyAlignment="1">
      <alignment horizontal="center" vertical="center" wrapText="1"/>
    </xf>
    <xf numFmtId="0" fontId="41" fillId="18" borderId="0" xfId="0" applyFont="1" applyFill="1" applyAlignment="1">
      <alignment horizontal="left"/>
    </xf>
    <xf numFmtId="0" fontId="42" fillId="18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164" fontId="3" fillId="4" borderId="0" xfId="1" applyNumberFormat="1" applyFont="1" applyFill="1" applyAlignment="1">
      <alignment horizontal="center"/>
    </xf>
    <xf numFmtId="164" fontId="3" fillId="7" borderId="0" xfId="1" applyNumberFormat="1" applyFont="1" applyFill="1" applyAlignment="1">
      <alignment horizontal="center"/>
    </xf>
    <xf numFmtId="164" fontId="3" fillId="0" borderId="0" xfId="1" applyNumberFormat="1" applyFont="1" applyAlignment="1">
      <alignment horizontal="center"/>
    </xf>
    <xf numFmtId="0" fontId="5" fillId="10" borderId="0" xfId="0" applyFont="1" applyFill="1" applyAlignment="1">
      <alignment horizontal="center"/>
    </xf>
    <xf numFmtId="0" fontId="11" fillId="10" borderId="0" xfId="0" applyFont="1" applyFill="1" applyAlignment="1">
      <alignment horizontal="center" vertical="center"/>
    </xf>
    <xf numFmtId="0" fontId="33" fillId="10" borderId="0" xfId="0" applyFont="1" applyFill="1" applyAlignment="1">
      <alignment horizontal="center"/>
    </xf>
    <xf numFmtId="0" fontId="30" fillId="10" borderId="0" xfId="0" applyFont="1" applyFill="1" applyAlignment="1">
      <alignment horizontal="center" vertical="center"/>
    </xf>
    <xf numFmtId="0" fontId="11" fillId="17" borderId="0" xfId="0" applyFont="1" applyFill="1" applyAlignment="1">
      <alignment horizontal="center" vertical="center"/>
    </xf>
    <xf numFmtId="0" fontId="36" fillId="17" borderId="0" xfId="0" applyFont="1" applyFill="1" applyAlignment="1">
      <alignment horizontal="center" vertical="center"/>
    </xf>
    <xf numFmtId="0" fontId="13" fillId="13" borderId="0" xfId="0" applyFont="1" applyFill="1" applyAlignment="1">
      <alignment horizontal="center"/>
    </xf>
    <xf numFmtId="0" fontId="6" fillId="10" borderId="0" xfId="0" applyFont="1" applyFill="1" applyAlignment="1">
      <alignment horizontal="center"/>
    </xf>
    <xf numFmtId="0" fontId="35" fillId="17" borderId="0" xfId="0" applyFont="1" applyFill="1" applyAlignment="1">
      <alignment horizontal="center" vertical="center"/>
    </xf>
    <xf numFmtId="0" fontId="17" fillId="13" borderId="0" xfId="0" applyFont="1" applyFill="1" applyAlignment="1">
      <alignment horizontal="center" vertical="center"/>
    </xf>
    <xf numFmtId="0" fontId="38" fillId="13" borderId="0" xfId="0" applyFont="1" applyFill="1" applyAlignment="1">
      <alignment horizontal="center"/>
    </xf>
    <xf numFmtId="0" fontId="35" fillId="13" borderId="0" xfId="0" applyFont="1" applyFill="1" applyAlignment="1">
      <alignment horizontal="center" vertical="center"/>
    </xf>
    <xf numFmtId="0" fontId="39" fillId="13" borderId="0" xfId="0" applyFont="1" applyFill="1" applyAlignment="1">
      <alignment horizontal="center" vertical="center"/>
    </xf>
    <xf numFmtId="164" fontId="0" fillId="0" borderId="0" xfId="1" applyNumberFormat="1" applyFont="1" applyBorder="1" applyAlignment="1">
      <alignment horizontal="center"/>
    </xf>
    <xf numFmtId="0" fontId="0" fillId="18" borderId="0" xfId="0" applyFill="1" applyAlignment="1">
      <alignment horizontal="center"/>
    </xf>
    <xf numFmtId="0" fontId="0" fillId="0" borderId="0" xfId="0" applyAlignment="1">
      <alignment horizontal="center"/>
    </xf>
  </cellXfs>
  <cellStyles count="10">
    <cellStyle name="40% - Énfasis1" xfId="6" builtinId="31"/>
    <cellStyle name="Énfasis1" xfId="5" builtinId="29"/>
    <cellStyle name="Énfasis5" xfId="4" builtinId="45"/>
    <cellStyle name="Millares" xfId="1" builtinId="3"/>
    <cellStyle name="Normal" xfId="0" builtinId="0"/>
    <cellStyle name="Normal 2" xfId="8" xr:uid="{6C6611A6-6567-483B-83E5-76E1BCC1B4B1}"/>
    <cellStyle name="Normal 5" xfId="2" xr:uid="{3AA8F696-DEAF-452C-8C7B-6F920620F727}"/>
    <cellStyle name="Normal 7" xfId="9" xr:uid="{B2C80F3D-049F-45C1-892C-AD77506C4000}"/>
    <cellStyle name="Porcentaje" xfId="3" builtinId="5"/>
    <cellStyle name="Porcentaje 4 2 2" xfId="7" xr:uid="{4B30E010-04B2-4D60-A4F2-073046105414}"/>
  </cellStyles>
  <dxfs count="9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" formatCode="#,##0"/>
      <fill>
        <patternFill patternType="solid">
          <fgColor indexed="64"/>
          <bgColor theme="8" tint="0.5999938962981048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" formatCode="#,##0"/>
      <fill>
        <patternFill patternType="solid">
          <fgColor indexed="64"/>
          <bgColor theme="8" tint="0.5999938962981048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" formatCode="#,##0"/>
      <fill>
        <patternFill patternType="solid">
          <fgColor indexed="64"/>
          <bgColor theme="8" tint="0.5999938962981048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" formatCode="#,##0"/>
      <fill>
        <patternFill patternType="solid">
          <fgColor indexed="64"/>
          <bgColor theme="8" tint="0.5999938962981048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" formatCode="#,##0"/>
      <fill>
        <patternFill patternType="solid">
          <fgColor indexed="64"/>
          <bgColor theme="8" tint="0.5999938962981048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" formatCode="0"/>
      <fill>
        <patternFill patternType="solid">
          <fgColor indexed="64"/>
          <bgColor theme="2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" formatCode="0"/>
      <fill>
        <patternFill patternType="solid">
          <fgColor indexed="64"/>
          <bgColor theme="2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" formatCode="0"/>
      <fill>
        <patternFill patternType="solid">
          <fgColor indexed="64"/>
          <bgColor theme="2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" formatCode="0"/>
      <fill>
        <patternFill patternType="solid">
          <fgColor indexed="64"/>
          <bgColor theme="2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" formatCode="0"/>
      <fill>
        <patternFill patternType="solid">
          <fgColor indexed="64"/>
          <bgColor theme="2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66" formatCode="0.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66" formatCode="0.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66" formatCode="0.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66" formatCode="0.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66" formatCode="0.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67" formatCode="0.000"/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0" formatCode="General"/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0" formatCode="General"/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66" formatCode="0.0"/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66" formatCode="0.0"/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66" formatCode="0.0"/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66" formatCode="0.0"/>
      <fill>
        <patternFill patternType="solid">
          <fgColor indexed="64"/>
          <bgColor theme="8" tint="0.5999938962981048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66" formatCode="0.0"/>
      <fill>
        <patternFill patternType="solid">
          <fgColor indexed="64"/>
          <bgColor theme="8" tint="0.5999938962981048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66" formatCode="0.0"/>
      <fill>
        <patternFill patternType="solid">
          <fgColor indexed="64"/>
          <bgColor theme="8" tint="0.5999938962981048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66" formatCode="0.0"/>
      <fill>
        <patternFill patternType="solid">
          <fgColor indexed="64"/>
          <bgColor theme="8" tint="0.5999938962981048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66" formatCode="0.0"/>
      <fill>
        <patternFill patternType="solid">
          <fgColor indexed="64"/>
          <bgColor theme="8" tint="0.5999938962981048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  <fill>
        <patternFill patternType="solid">
          <fgColor indexed="64"/>
          <bgColor theme="2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  <fill>
        <patternFill patternType="solid">
          <fgColor indexed="64"/>
          <bgColor theme="2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  <fill>
        <patternFill patternType="solid">
          <fgColor indexed="64"/>
          <bgColor theme="2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  <fill>
        <patternFill patternType="solid">
          <fgColor indexed="64"/>
          <bgColor theme="2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  <fill>
        <patternFill patternType="solid">
          <fgColor indexed="64"/>
          <bgColor theme="2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  <fill>
        <patternFill patternType="solid">
          <fgColor indexed="64"/>
          <bgColor theme="2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  <fill>
        <patternFill patternType="solid">
          <fgColor indexed="64"/>
          <bgColor theme="2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  <fill>
        <patternFill patternType="solid">
          <fgColor indexed="64"/>
          <bgColor theme="2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  <fill>
        <patternFill patternType="solid">
          <fgColor indexed="64"/>
          <bgColor theme="2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  <fill>
        <patternFill patternType="solid">
          <fgColor indexed="64"/>
          <bgColor theme="2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left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right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" formatCode="0"/>
      <fill>
        <patternFill patternType="solid">
          <fgColor indexed="64"/>
          <bgColor theme="8" tint="0.59999389629810485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family val="1"/>
        <scheme val="none"/>
      </font>
      <numFmt numFmtId="164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family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family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family val="1"/>
        <scheme val="none"/>
      </font>
      <numFmt numFmtId="164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family val="1"/>
        <scheme val="none"/>
      </font>
      <numFmt numFmtId="164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family val="1"/>
        <scheme val="none"/>
      </font>
      <numFmt numFmtId="164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family val="1"/>
        <scheme val="none"/>
      </font>
      <numFmt numFmtId="164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family val="1"/>
        <scheme val="none"/>
      </font>
      <numFmt numFmtId="164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family val="1"/>
        <scheme val="none"/>
      </font>
      <numFmt numFmtId="164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family val="1"/>
        <scheme val="none"/>
      </font>
      <numFmt numFmtId="164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family val="1"/>
        <scheme val="none"/>
      </font>
      <numFmt numFmtId="164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family val="1"/>
        <scheme val="none"/>
      </font>
      <numFmt numFmtId="164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family val="1"/>
        <scheme val="none"/>
      </font>
      <numFmt numFmtId="164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family val="1"/>
        <scheme val="none"/>
      </font>
      <numFmt numFmtId="164" formatCode="_-* #,##0_-;\-* #,##0_-;_-* &quot;-&quot;??_-;_-@_-"/>
      <fill>
        <patternFill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family val="1"/>
        <scheme val="none"/>
      </font>
      <numFmt numFmtId="164" formatCode="_-* #,##0_-;\-* #,##0_-;_-* &quot;-&quot;??_-;_-@_-"/>
      <fill>
        <patternFill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family val="1"/>
        <scheme val="none"/>
      </font>
      <numFmt numFmtId="164" formatCode="_-* #,##0_-;\-* #,##0_-;_-* &quot;-&quot;??_-;_-@_-"/>
      <fill>
        <patternFill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family val="1"/>
        <scheme val="none"/>
      </font>
      <numFmt numFmtId="164" formatCode="_-* #,##0_-;\-* #,##0_-;_-* &quot;-&quot;??_-;_-@_-"/>
      <fill>
        <patternFill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family val="1"/>
        <scheme val="none"/>
      </font>
      <numFmt numFmtId="164" formatCode="_-* #,##0_-;\-* #,##0_-;_-* &quot;-&quot;??_-;_-@_-"/>
      <fill>
        <patternFill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family val="1"/>
        <scheme val="none"/>
      </font>
      <numFmt numFmtId="164" formatCode="_-* #,##0_-;\-* #,##0_-;_-* &quot;-&quot;??_-;_-@_-"/>
      <fill>
        <patternFill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family val="1"/>
        <scheme val="none"/>
      </font>
      <numFmt numFmtId="164" formatCode="_-* #,##0_-;\-* #,##0_-;_-* &quot;-&quot;??_-;_-@_-"/>
      <fill>
        <patternFill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family val="1"/>
        <scheme val="none"/>
      </font>
      <numFmt numFmtId="164" formatCode="_-* #,##0_-;\-* #,##0_-;_-* &quot;-&quot;??_-;_-@_-"/>
      <fill>
        <patternFill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family val="1"/>
        <scheme val="none"/>
      </font>
      <numFmt numFmtId="164" formatCode="_-* #,##0_-;\-* #,##0_-;_-* &quot;-&quot;??_-;_-@_-"/>
      <fill>
        <patternFill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family val="1"/>
        <scheme val="none"/>
      </font>
      <numFmt numFmtId="164" formatCode="_-* #,##0_-;\-* #,##0_-;_-* &quot;-&quot;??_-;_-@_-"/>
      <fill>
        <patternFill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family val="1"/>
        <scheme val="none"/>
      </font>
      <numFmt numFmtId="164" formatCode="_-* #,##0_-;\-* #,##0_-;_-* &quot;-&quot;??_-;_-@_-"/>
      <fill>
        <patternFill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family val="1"/>
        <scheme val="none"/>
      </font>
      <numFmt numFmtId="164" formatCode="_-* #,##0_-;\-* #,##0_-;_-* &quot;-&quot;??_-;_-@_-"/>
      <fill>
        <patternFill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family val="1"/>
        <scheme val="none"/>
      </font>
      <numFmt numFmtId="164" formatCode="_-* #,##0_-;\-* #,##0_-;_-* &quot;-&quot;??_-;_-@_-"/>
      <fill>
        <patternFill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family val="1"/>
        <scheme val="none"/>
      </font>
      <numFmt numFmtId="164" formatCode="_-* #,##0_-;\-* #,##0_-;_-* &quot;-&quot;??_-;_-@_-"/>
      <fill>
        <patternFill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family val="1"/>
        <scheme val="none"/>
      </font>
      <numFmt numFmtId="164" formatCode="_-* #,##0_-;\-* #,##0_-;_-* &quot;-&quot;??_-;_-@_-"/>
      <fill>
        <patternFill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family val="1"/>
        <scheme val="none"/>
      </font>
      <numFmt numFmtId="164" formatCode="_-* #,##0_-;\-* #,##0_-;_-* &quot;-&quot;??_-;_-@_-"/>
      <fill>
        <patternFill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family val="1"/>
        <scheme val="none"/>
      </font>
      <numFmt numFmtId="164" formatCode="_-* #,##0_-;\-* #,##0_-;_-* &quot;-&quot;??_-;_-@_-"/>
      <fill>
        <patternFill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family val="1"/>
        <scheme val="none"/>
      </font>
      <numFmt numFmtId="164" formatCode="_-* #,##0_-;\-* #,##0_-;_-* &quot;-&quot;??_-;_-@_-"/>
      <fill>
        <patternFill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family val="1"/>
        <scheme val="none"/>
      </font>
      <numFmt numFmtId="164" formatCode="_-* #,##0_-;\-* #,##0_-;_-* &quot;-&quot;??_-;_-@_-"/>
      <fill>
        <patternFill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family val="1"/>
        <scheme val="none"/>
      </font>
      <numFmt numFmtId="164" formatCode="_-* #,##0_-;\-* #,##0_-;_-* &quot;-&quot;??_-;_-@_-"/>
      <fill>
        <patternFill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family val="1"/>
        <scheme val="none"/>
      </font>
      <numFmt numFmtId="164" formatCode="_-* #,##0_-;\-* #,##0_-;_-* &quot;-&quot;??_-;_-@_-"/>
      <fill>
        <patternFill>
          <fgColor indexed="64"/>
          <bgColor theme="7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family val="1"/>
        <scheme val="none"/>
      </font>
      <numFmt numFmtId="164" formatCode="_-* #,##0_-;\-* #,##0_-;_-* &quot;-&quot;??_-;_-@_-"/>
      <fill>
        <patternFill>
          <fgColor indexed="64"/>
          <bgColor theme="7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family val="1"/>
        <scheme val="none"/>
      </font>
      <numFmt numFmtId="164" formatCode="_-* #,##0_-;\-* #,##0_-;_-* &quot;-&quot;??_-;_-@_-"/>
      <fill>
        <patternFill>
          <fgColor indexed="64"/>
          <bgColor theme="7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family val="1"/>
        <scheme val="none"/>
      </font>
      <numFmt numFmtId="164" formatCode="_-* #,##0_-;\-* #,##0_-;_-* &quot;-&quot;??_-;_-@_-"/>
      <fill>
        <patternFill>
          <fgColor indexed="64"/>
          <bgColor theme="7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family val="1"/>
        <scheme val="none"/>
      </font>
      <numFmt numFmtId="164" formatCode="_-* #,##0_-;\-* #,##0_-;_-* &quot;-&quot;??_-;_-@_-"/>
      <fill>
        <patternFill>
          <fgColor indexed="64"/>
          <bgColor theme="7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family val="1"/>
        <scheme val="none"/>
      </font>
      <numFmt numFmtId="164" formatCode="_-* #,##0_-;\-* #,##0_-;_-* &quot;-&quot;??_-;_-@_-"/>
      <fill>
        <patternFill>
          <fgColor indexed="64"/>
          <bgColor theme="7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family val="1"/>
        <scheme val="none"/>
      </font>
      <numFmt numFmtId="164" formatCode="_-* #,##0_-;\-* #,##0_-;_-* &quot;-&quot;??_-;_-@_-"/>
      <fill>
        <patternFill>
          <fgColor indexed="64"/>
          <bgColor theme="7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family val="1"/>
        <scheme val="none"/>
      </font>
      <numFmt numFmtId="164" formatCode="_-* #,##0_-;\-* #,##0_-;_-* &quot;-&quot;??_-;_-@_-"/>
      <fill>
        <patternFill>
          <fgColor indexed="64"/>
          <bgColor theme="7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family val="1"/>
        <scheme val="none"/>
      </font>
      <numFmt numFmtId="164" formatCode="_-* #,##0_-;\-* #,##0_-;_-* &quot;-&quot;??_-;_-@_-"/>
      <fill>
        <patternFill>
          <fgColor indexed="64"/>
          <bgColor theme="7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family val="1"/>
        <scheme val="none"/>
      </font>
      <numFmt numFmtId="164" formatCode="_-* #,##0_-;\-* #,##0_-;_-* &quot;-&quot;??_-;_-@_-"/>
      <fill>
        <patternFill>
          <fgColor indexed="64"/>
          <bgColor theme="7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family val="1"/>
        <scheme val="none"/>
      </font>
      <numFmt numFmtId="164" formatCode="_-* #,##0_-;\-* #,##0_-;_-* &quot;-&quot;??_-;_-@_-"/>
      <fill>
        <patternFill>
          <fgColor indexed="64"/>
          <bgColor theme="7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family val="1"/>
        <scheme val="none"/>
      </font>
      <numFmt numFmtId="164" formatCode="_-* #,##0_-;\-* #,##0_-;_-* &quot;-&quot;??_-;_-@_-"/>
      <fill>
        <patternFill>
          <fgColor indexed="64"/>
          <bgColor theme="7" tint="0.5999938962981048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family val="1"/>
        <scheme val="none"/>
      </font>
      <numFmt numFmtId="164" formatCode="_-* #,##0_-;\-* #,##0_-;_-* &quot;-&quot;??_-;_-@_-"/>
      <fill>
        <patternFill patternType="solid">
          <fgColor indexed="64"/>
          <bgColor theme="7" tint="0.5999938962981048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family val="1"/>
        <scheme val="none"/>
      </font>
      <numFmt numFmtId="164" formatCode="_-* #,##0_-;\-* #,##0_-;_-* &quot;-&quot;??_-;_-@_-"/>
      <fill>
        <patternFill>
          <fgColor indexed="64"/>
          <bgColor theme="7" tint="0.5999938962981048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imes New Roman"/>
        <family val="1"/>
        <scheme val="none"/>
      </font>
      <numFmt numFmtId="164" formatCode="_-* #,##0_-;\-* #,##0_-;_-* &quot;-&quot;??_-;_-@_-"/>
      <fill>
        <patternFill patternType="solid">
          <fgColor indexed="64"/>
          <bgColor theme="7" tint="0.5999938962981048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family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family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family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family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imes New Roman"/>
        <family val="1"/>
        <scheme val="none"/>
      </font>
      <numFmt numFmtId="164" formatCode="_-* #,##0_-;\-* #,##0_-;_-* &quot;-&quot;??_-;_-@_-"/>
    </dxf>
  </dxfs>
  <tableStyles count="0" defaultTableStyle="TableStyleMedium2" defaultPivotStyle="PivotStyleLight16"/>
  <colors>
    <mruColors>
      <color rgb="FFCCCCFF"/>
      <color rgb="FF0099FF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Ex3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Ex4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Ex5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Ex6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Valor agregado municipal (miles de millones)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Económico!$A$6</c:f>
              <c:strCache>
                <c:ptCount val="1"/>
                <c:pt idx="0">
                  <c:v>Municipio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Económico!$B$5:$C$5</c:f>
              <c:strCache>
                <c:ptCount val="2"/>
                <c:pt idx="0">
                  <c:v>Sogamoso</c:v>
                </c:pt>
                <c:pt idx="1">
                  <c:v>Samacá</c:v>
                </c:pt>
              </c:strCache>
            </c:strRef>
          </c:cat>
          <c:val>
            <c:numRef>
              <c:f>Económico!$B$6:$C$6</c:f>
              <c:numCache>
                <c:formatCode>_-* #,##0_-;\-* #,##0_-;_-* "-"??_-;_-@_-</c:formatCode>
                <c:ptCount val="2"/>
                <c:pt idx="0">
                  <c:v>4123.7196788743558</c:v>
                </c:pt>
                <c:pt idx="1">
                  <c:v>584.32413763084139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3D-42EB-9D3B-1B32FA9EFC8B}"/>
            </c:ext>
          </c:extLst>
        </c:ser>
        <c:ser>
          <c:idx val="1"/>
          <c:order val="1"/>
          <c:tx>
            <c:strRef>
              <c:f>Económico!$A$7</c:f>
              <c:strCache>
                <c:ptCount val="1"/>
                <c:pt idx="0">
                  <c:v>Provincia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Económico!$B$5:$C$5</c:f>
              <c:strCache>
                <c:ptCount val="2"/>
                <c:pt idx="0">
                  <c:v>Sogamoso</c:v>
                </c:pt>
                <c:pt idx="1">
                  <c:v>Samacá</c:v>
                </c:pt>
              </c:strCache>
            </c:strRef>
          </c:cat>
          <c:val>
            <c:numRef>
              <c:f>Económico!$B$7:$C$7</c:f>
              <c:numCache>
                <c:formatCode>_-* #,##0_-;\-* #,##0_-;_-* "-"??_-;_-@_-</c:formatCode>
                <c:ptCount val="2"/>
                <c:pt idx="0">
                  <c:v>8808.6496213935043</c:v>
                </c:pt>
                <c:pt idx="1">
                  <c:v>8644.9689293144038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D3D-42EB-9D3B-1B32FA9EFC8B}"/>
            </c:ext>
          </c:extLst>
        </c:ser>
        <c:ser>
          <c:idx val="3"/>
          <c:order val="3"/>
          <c:tx>
            <c:strRef>
              <c:f>Económico!$A$9</c:f>
              <c:strCache>
                <c:ptCount val="1"/>
                <c:pt idx="0">
                  <c:v>Participación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t" anchorCtr="0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Económico!$B$5:$C$5</c:f>
              <c:strCache>
                <c:ptCount val="2"/>
                <c:pt idx="0">
                  <c:v>Sogamoso</c:v>
                </c:pt>
                <c:pt idx="1">
                  <c:v>Samacá</c:v>
                </c:pt>
              </c:strCache>
            </c:strRef>
          </c:cat>
          <c:val>
            <c:numRef>
              <c:f>Económico!$B$9:$C$9</c:f>
              <c:numCache>
                <c:formatCode>0%</c:formatCode>
                <c:ptCount val="2"/>
                <c:pt idx="0">
                  <c:v>0.46814436447320001</c:v>
                </c:pt>
                <c:pt idx="1">
                  <c:v>6.7591236291138612E-2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D3D-42EB-9D3B-1B32FA9EFC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0"/>
        <c:axId val="1641373840"/>
        <c:axId val="1641356080"/>
        <c:extLst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Económico!$A$8</c15:sqref>
                        </c15:formulaRef>
                      </c:ext>
                    </c:extLst>
                    <c:strCache>
                      <c:ptCount val="1"/>
                      <c:pt idx="0">
                        <c:v>Departamento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Económico!$B$5:$C$5</c15:sqref>
                        </c15:formulaRef>
                      </c:ext>
                    </c:extLst>
                    <c:strCache>
                      <c:ptCount val="2"/>
                      <c:pt idx="0">
                        <c:v>Sogamoso</c:v>
                      </c:pt>
                      <c:pt idx="1">
                        <c:v>Samacá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Económico!$B$8:$C$8</c15:sqref>
                        </c15:formulaRef>
                      </c:ext>
                    </c:extLst>
                    <c:numCache>
                      <c:formatCode>_-* #,##0_-;\-* #,##0_-;_-* "-"??_-;_-@_-</c:formatCode>
                      <c:ptCount val="2"/>
                      <c:pt idx="0">
                        <c:v>39049.173500554636</c:v>
                      </c:pt>
                      <c:pt idx="1">
                        <c:v>39049.173500554636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5-CD3D-42EB-9D3B-1B32FA9EFC8B}"/>
                  </c:ext>
                </c:extLst>
              </c15:ser>
            </c15:filteredBarSeries>
          </c:ext>
        </c:extLst>
      </c:barChart>
      <c:catAx>
        <c:axId val="1641373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41356080"/>
        <c:crosses val="autoZero"/>
        <c:auto val="1"/>
        <c:lblAlgn val="ctr"/>
        <c:lblOffset val="100"/>
        <c:noMultiLvlLbl val="0"/>
      </c:catAx>
      <c:valAx>
        <c:axId val="1641356080"/>
        <c:scaling>
          <c:orientation val="minMax"/>
        </c:scaling>
        <c:delete val="0"/>
        <c:axPos val="l"/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41373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/>
              <a:t>Estadística educativa 2024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Social!$B$23</c:f>
              <c:strCache>
                <c:ptCount val="1"/>
                <c:pt idx="0">
                  <c:v>Samacá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Social!$A$24:$A$26</c:f>
              <c:strCache>
                <c:ptCount val="3"/>
                <c:pt idx="0">
                  <c:v>Matrículas</c:v>
                </c:pt>
                <c:pt idx="1">
                  <c:v>Establecimientos</c:v>
                </c:pt>
                <c:pt idx="2">
                  <c:v>Puntaje ICFES</c:v>
                </c:pt>
              </c:strCache>
            </c:strRef>
          </c:cat>
          <c:val>
            <c:numRef>
              <c:f>Social!$B$24:$B$26</c:f>
              <c:numCache>
                <c:formatCode>_-* #,##0_-;\-* #,##0_-;_-* "-"??_-;_-@_-</c:formatCode>
                <c:ptCount val="3"/>
                <c:pt idx="0">
                  <c:v>4877</c:v>
                </c:pt>
                <c:pt idx="1">
                  <c:v>8</c:v>
                </c:pt>
                <c:pt idx="2">
                  <c:v>287.75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1D-48B8-BE31-06A4525D28BA}"/>
            </c:ext>
          </c:extLst>
        </c:ser>
        <c:ser>
          <c:idx val="1"/>
          <c:order val="1"/>
          <c:tx>
            <c:strRef>
              <c:f>Social!$C$23</c:f>
              <c:strCache>
                <c:ptCount val="1"/>
                <c:pt idx="0">
                  <c:v>Tópaga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Social!$A$24:$A$26</c:f>
              <c:strCache>
                <c:ptCount val="3"/>
                <c:pt idx="0">
                  <c:v>Matrículas</c:v>
                </c:pt>
                <c:pt idx="1">
                  <c:v>Establecimientos</c:v>
                </c:pt>
                <c:pt idx="2">
                  <c:v>Puntaje ICFES</c:v>
                </c:pt>
              </c:strCache>
            </c:strRef>
          </c:cat>
          <c:val>
            <c:numRef>
              <c:f>Social!$C$24:$C$26</c:f>
              <c:numCache>
                <c:formatCode>_-* #,##0_-;\-* #,##0_-;_-* "-"??_-;_-@_-</c:formatCode>
                <c:ptCount val="3"/>
                <c:pt idx="0">
                  <c:v>670</c:v>
                </c:pt>
                <c:pt idx="1">
                  <c:v>2</c:v>
                </c:pt>
                <c:pt idx="2">
                  <c:v>265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B1D-48B8-BE31-06A4525D28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14356784"/>
        <c:axId val="614330864"/>
      </c:barChart>
      <c:catAx>
        <c:axId val="6143567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14330864"/>
        <c:crosses val="autoZero"/>
        <c:auto val="1"/>
        <c:lblAlgn val="ctr"/>
        <c:lblOffset val="100"/>
        <c:noMultiLvlLbl val="0"/>
      </c:catAx>
      <c:valAx>
        <c:axId val="614330864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143567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Inventario de dotaciones en salud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Social!$C$36</c:f>
              <c:strCache>
                <c:ptCount val="1"/>
                <c:pt idx="0">
                  <c:v>Samacá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Social!$B$37:$B$40</c:f>
              <c:strCache>
                <c:ptCount val="4"/>
                <c:pt idx="0">
                  <c:v> No. IPS </c:v>
                </c:pt>
                <c:pt idx="1">
                  <c:v> Ambulancias </c:v>
                </c:pt>
                <c:pt idx="2">
                  <c:v> Salas </c:v>
                </c:pt>
                <c:pt idx="3">
                  <c:v> Camas </c:v>
                </c:pt>
              </c:strCache>
            </c:strRef>
          </c:cat>
          <c:val>
            <c:numRef>
              <c:f>Social!$C$37:$C$40</c:f>
              <c:numCache>
                <c:formatCode>_-* #,##0_-;\-* #,##0_-;_-* "-"??_-;_-@_-</c:formatCode>
                <c:ptCount val="4"/>
                <c:pt idx="0">
                  <c:v>17</c:v>
                </c:pt>
                <c:pt idx="1">
                  <c:v>3</c:v>
                </c:pt>
                <c:pt idx="2">
                  <c:v>5</c:v>
                </c:pt>
                <c:pt idx="3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E6-48B2-88DA-54F5C0A681F1}"/>
            </c:ext>
          </c:extLst>
        </c:ser>
        <c:ser>
          <c:idx val="1"/>
          <c:order val="1"/>
          <c:tx>
            <c:strRef>
              <c:f>Social!$D$36</c:f>
              <c:strCache>
                <c:ptCount val="1"/>
                <c:pt idx="0">
                  <c:v>Tópaga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Social!$B$37:$B$40</c:f>
              <c:strCache>
                <c:ptCount val="4"/>
                <c:pt idx="0">
                  <c:v> No. IPS </c:v>
                </c:pt>
                <c:pt idx="1">
                  <c:v> Ambulancias </c:v>
                </c:pt>
                <c:pt idx="2">
                  <c:v> Salas </c:v>
                </c:pt>
                <c:pt idx="3">
                  <c:v> Camas </c:v>
                </c:pt>
              </c:strCache>
            </c:strRef>
          </c:cat>
          <c:val>
            <c:numRef>
              <c:f>Social!$D$37:$D$40</c:f>
              <c:numCache>
                <c:formatCode>_-* #,##0_-;\-* #,##0_-;_-* "-"??_-;_-@_-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E6-48B2-88DA-54F5C0A681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6780576"/>
        <c:axId val="606788256"/>
      </c:barChart>
      <c:catAx>
        <c:axId val="606780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06788256"/>
        <c:crosses val="autoZero"/>
        <c:auto val="1"/>
        <c:lblAlgn val="ctr"/>
        <c:lblOffset val="100"/>
        <c:noMultiLvlLbl val="0"/>
      </c:catAx>
      <c:valAx>
        <c:axId val="606788256"/>
        <c:scaling>
          <c:orientation val="minMax"/>
        </c:scaling>
        <c:delete val="0"/>
        <c:axPos val="l"/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067805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Afiliados por régimen en salud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25090579679157554"/>
          <c:y val="0.10138735121245401"/>
          <c:w val="0.49818857746713524"/>
          <c:h val="0.80856002416357498"/>
        </c:manualLayout>
      </c:layout>
      <c:doughnutChart>
        <c:varyColors val="1"/>
        <c:ser>
          <c:idx val="0"/>
          <c:order val="0"/>
          <c:tx>
            <c:strRef>
              <c:f>Social!$H$34</c:f>
              <c:strCache>
                <c:ptCount val="1"/>
                <c:pt idx="0">
                  <c:v>Samacá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C8E-4C1D-A312-3B4003AE834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C8E-4C1D-A312-3B4003AE834C}"/>
              </c:ext>
            </c:extLst>
          </c:dPt>
          <c:dPt>
            <c:idx val="2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6C3D-4675-9541-167D034F3B9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Social!$G$35:$G$37</c:f>
              <c:strCache>
                <c:ptCount val="3"/>
                <c:pt idx="0">
                  <c:v> Contributivo </c:v>
                </c:pt>
                <c:pt idx="1">
                  <c:v> Especial </c:v>
                </c:pt>
                <c:pt idx="2">
                  <c:v> Subsidiado </c:v>
                </c:pt>
              </c:strCache>
            </c:strRef>
          </c:cat>
          <c:val>
            <c:numRef>
              <c:f>Social!$H$35:$H$37</c:f>
              <c:numCache>
                <c:formatCode>_-* #,##0_-;\-* #,##0_-;_-* "-"??_-;_-@_-</c:formatCode>
                <c:ptCount val="3"/>
                <c:pt idx="0">
                  <c:v>10557</c:v>
                </c:pt>
                <c:pt idx="1">
                  <c:v>65</c:v>
                </c:pt>
                <c:pt idx="2">
                  <c:v>12142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3D-4675-9541-167D034F3B92}"/>
            </c:ext>
          </c:extLst>
        </c:ser>
        <c:ser>
          <c:idx val="1"/>
          <c:order val="1"/>
          <c:tx>
            <c:strRef>
              <c:f>Social!$I$34</c:f>
              <c:strCache>
                <c:ptCount val="1"/>
                <c:pt idx="0">
                  <c:v>Tópaga</c:v>
                </c:pt>
              </c:strCache>
            </c:strRef>
          </c:tx>
          <c:explosion val="2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AC8E-4C1D-A312-3B4003AE834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AC8E-4C1D-A312-3B4003AE834C}"/>
              </c:ext>
            </c:extLst>
          </c:dPt>
          <c:dPt>
            <c:idx val="2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6C3D-4675-9541-167D034F3B92}"/>
              </c:ext>
            </c:extLst>
          </c:dPt>
          <c:dLbls>
            <c:dLbl>
              <c:idx val="0"/>
              <c:layout>
                <c:manualLayout>
                  <c:x val="0.10209991594588927"/>
                  <c:y val="-0.13045110151921818"/>
                </c:manualLayout>
              </c:layout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C8E-4C1D-A312-3B4003AE834C}"/>
                </c:ext>
              </c:extLst>
            </c:dLbl>
            <c:dLbl>
              <c:idx val="1"/>
              <c:layout>
                <c:manualLayout>
                  <c:x val="0.15206370460026045"/>
                  <c:y val="0.12339969062628743"/>
                </c:manualLayout>
              </c:layout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C8E-4C1D-A312-3B4003AE834C}"/>
                </c:ext>
              </c:extLst>
            </c:dLbl>
            <c:dLbl>
              <c:idx val="2"/>
              <c:layout>
                <c:manualLayout>
                  <c:x val="-0.16075305914884694"/>
                  <c:y val="4.2308465357584264E-2"/>
                </c:manualLayout>
              </c:layout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C3D-4675-9541-167D034F3B9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Social!$G$35:$G$37</c:f>
              <c:strCache>
                <c:ptCount val="3"/>
                <c:pt idx="0">
                  <c:v> Contributivo </c:v>
                </c:pt>
                <c:pt idx="1">
                  <c:v> Especial </c:v>
                </c:pt>
                <c:pt idx="2">
                  <c:v> Subsidiado </c:v>
                </c:pt>
              </c:strCache>
            </c:strRef>
          </c:cat>
          <c:val>
            <c:numRef>
              <c:f>Social!$I$35:$I$37</c:f>
              <c:numCache>
                <c:formatCode>_-* #,##0_-;\-* #,##0_-;_-* "-"??_-;_-@_-</c:formatCode>
                <c:ptCount val="3"/>
                <c:pt idx="0">
                  <c:v>889</c:v>
                </c:pt>
                <c:pt idx="1">
                  <c:v>4</c:v>
                </c:pt>
                <c:pt idx="2">
                  <c:v>1912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C3D-4675-9541-167D034F3B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25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No. de acueductos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Ambiental!$A$8</c:f>
              <c:strCache>
                <c:ptCount val="1"/>
                <c:pt idx="0">
                  <c:v>Acueductos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accent5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D9C-45CD-8C2D-9E7615D1340D}"/>
              </c:ext>
            </c:extLst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Ambiental!$B$6:$C$6</c:f>
              <c:strCache>
                <c:ptCount val="2"/>
                <c:pt idx="0">
                  <c:v>Tópaga</c:v>
                </c:pt>
                <c:pt idx="1">
                  <c:v>Samacá</c:v>
                </c:pt>
              </c:strCache>
            </c:strRef>
          </c:cat>
          <c:val>
            <c:numRef>
              <c:f>Ambiental!$B$8:$C$8</c:f>
              <c:numCache>
                <c:formatCode>_-* #,##0_-;\-* #,##0_-;_-* "-"??_-;_-@_-</c:formatCode>
                <c:ptCount val="2"/>
                <c:pt idx="0">
                  <c:v>4</c:v>
                </c:pt>
                <c:pt idx="1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9C-45CD-8C2D-9E7615D134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6842496"/>
        <c:axId val="606859296"/>
      </c:barChart>
      <c:catAx>
        <c:axId val="606842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06859296"/>
        <c:crosses val="autoZero"/>
        <c:auto val="1"/>
        <c:lblAlgn val="ctr"/>
        <c:lblOffset val="100"/>
        <c:noMultiLvlLbl val="0"/>
      </c:catAx>
      <c:valAx>
        <c:axId val="606859296"/>
        <c:scaling>
          <c:orientation val="minMax"/>
        </c:scaling>
        <c:delete val="0"/>
        <c:axPos val="l"/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06842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Eventos de emergencia o desastre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Ambiental!$G$2</c:f>
              <c:strCache>
                <c:ptCount val="1"/>
                <c:pt idx="0">
                  <c:v>Eventos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00E6-48F8-9A2F-1F851EA72A68}"/>
              </c:ext>
            </c:extLst>
          </c:dPt>
          <c:dPt>
            <c:idx val="1"/>
            <c:invertIfNegative val="0"/>
            <c:bubble3D val="0"/>
            <c:spPr>
              <a:solidFill>
                <a:srgbClr val="0070C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07BD-4650-B14F-AAA6FF9FA70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Ambiental!$H$1:$I$1</c:f>
              <c:strCache>
                <c:ptCount val="2"/>
                <c:pt idx="0">
                  <c:v>Tópaga</c:v>
                </c:pt>
                <c:pt idx="1">
                  <c:v>Samacá</c:v>
                </c:pt>
              </c:strCache>
            </c:strRef>
          </c:cat>
          <c:val>
            <c:numRef>
              <c:f>Ambiental!$H$2:$I$2</c:f>
              <c:numCache>
                <c:formatCode>_-* #,##0_-;\-* #,##0_-;_-* "-"??_-;_-@_-</c:formatCode>
                <c:ptCount val="2"/>
                <c:pt idx="0">
                  <c:v>5</c:v>
                </c:pt>
                <c:pt idx="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BD-4650-B14F-AAA6FF9FA7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37364480"/>
        <c:axId val="637338560"/>
      </c:barChart>
      <c:catAx>
        <c:axId val="6373644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37338560"/>
        <c:crosses val="autoZero"/>
        <c:auto val="1"/>
        <c:lblAlgn val="ctr"/>
        <c:lblOffset val="100"/>
        <c:noMultiLvlLbl val="0"/>
      </c:catAx>
      <c:valAx>
        <c:axId val="637338560"/>
        <c:scaling>
          <c:orientation val="minMax"/>
        </c:scaling>
        <c:delete val="0"/>
        <c:axPos val="b"/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37364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Participación en</a:t>
            </a:r>
            <a:r>
              <a:rPr lang="es-CO" baseline="0"/>
              <a:t> el PIB Nacional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7"/>
          <c:order val="0"/>
          <c:tx>
            <c:strRef>
              <c:f>Boyacá!$A$22</c:f>
              <c:strCache>
                <c:ptCount val="1"/>
                <c:pt idx="0">
                  <c:v>Boyacá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Boyacá!$B$22:$F$22</c:f>
              <c:numCache>
                <c:formatCode>0.0%</c:formatCode>
                <c:ptCount val="5"/>
                <c:pt idx="0">
                  <c:v>2.6276413386353444E-2</c:v>
                </c:pt>
                <c:pt idx="1">
                  <c:v>2.567782692427158E-2</c:v>
                </c:pt>
                <c:pt idx="2">
                  <c:v>2.5533592759640181E-2</c:v>
                </c:pt>
                <c:pt idx="3">
                  <c:v>2.5439091724636587E-2</c:v>
                </c:pt>
                <c:pt idx="4">
                  <c:v>2.5297539830146674E-2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Boyacá!#REF!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7-23FF-4225-8C15-1521F894973E}"/>
            </c:ext>
          </c:extLst>
        </c:ser>
        <c:ser>
          <c:idx val="8"/>
          <c:order val="1"/>
          <c:tx>
            <c:strRef>
              <c:f>Boyacá!$A$23</c:f>
              <c:strCache>
                <c:ptCount val="1"/>
                <c:pt idx="0">
                  <c:v>Valle del Cauca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Boyacá!$B$23:$F$23</c:f>
              <c:numCache>
                <c:formatCode>0.0%</c:formatCode>
                <c:ptCount val="5"/>
                <c:pt idx="0">
                  <c:v>0.10013887181268735</c:v>
                </c:pt>
                <c:pt idx="1">
                  <c:v>9.9278424129465428E-2</c:v>
                </c:pt>
                <c:pt idx="2">
                  <c:v>9.9783827478959364E-2</c:v>
                </c:pt>
                <c:pt idx="3">
                  <c:v>9.9552400890993833E-2</c:v>
                </c:pt>
                <c:pt idx="4">
                  <c:v>9.9985015931136401E-2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Boyacá!#REF!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8-23FF-4225-8C15-1521F894973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229817343"/>
        <c:axId val="1229819743"/>
      </c:barChart>
      <c:catAx>
        <c:axId val="12298173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29819743"/>
        <c:crosses val="autoZero"/>
        <c:auto val="1"/>
        <c:lblAlgn val="ctr"/>
        <c:lblOffset val="100"/>
        <c:noMultiLvlLbl val="0"/>
      </c:catAx>
      <c:valAx>
        <c:axId val="1229819743"/>
        <c:scaling>
          <c:orientation val="minMax"/>
        </c:scaling>
        <c:delete val="1"/>
        <c:axPos val="l"/>
        <c:numFmt formatCode="0.0%" sourceLinked="1"/>
        <c:majorTickMark val="none"/>
        <c:minorTickMark val="none"/>
        <c:tickLblPos val="nextTo"/>
        <c:crossAx val="12298173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Crecimiento</a:t>
            </a:r>
            <a:r>
              <a:rPr lang="es-CO" baseline="0"/>
              <a:t> del PIB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4"/>
          <c:order val="0"/>
          <c:tx>
            <c:strRef>
              <c:f>Boyacá!$A$19</c:f>
              <c:strCache>
                <c:ptCount val="1"/>
                <c:pt idx="0">
                  <c:v>Boyacá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Boyacá!$C$15:$F$15</c:f>
              <c:numCache>
                <c:formatCode>General</c:formatCode>
                <c:ptCount val="4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</c:numCache>
            </c:numRef>
          </c:cat>
          <c:val>
            <c:numRef>
              <c:f>Boyacá!$C$19:$F$19</c:f>
              <c:numCache>
                <c:formatCode>0.0%</c:formatCode>
                <c:ptCount val="4"/>
                <c:pt idx="0">
                  <c:v>8.2771057185022673E-2</c:v>
                </c:pt>
                <c:pt idx="1">
                  <c:v>6.7254067919385319E-2</c:v>
                </c:pt>
                <c:pt idx="2">
                  <c:v>3.3963874796120634E-3</c:v>
                </c:pt>
                <c:pt idx="3">
                  <c:v>1.0329539139051476E-2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8FC-4EC7-8111-2520C7B7798C}"/>
            </c:ext>
          </c:extLst>
        </c:ser>
        <c:ser>
          <c:idx val="5"/>
          <c:order val="1"/>
          <c:tx>
            <c:strRef>
              <c:f>Boyacá!$A$20</c:f>
              <c:strCache>
                <c:ptCount val="1"/>
                <c:pt idx="0">
                  <c:v>Valle del Cauca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Boyacá!$C$15:$F$15</c:f>
              <c:numCache>
                <c:formatCode>General</c:formatCode>
                <c:ptCount val="4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</c:numCache>
            </c:numRef>
          </c:cat>
          <c:val>
            <c:numRef>
              <c:f>Boyacá!$C$20:$F$20</c:f>
              <c:numCache>
                <c:formatCode>0.0%</c:formatCode>
                <c:ptCount val="4"/>
                <c:pt idx="0">
                  <c:v>9.8491339964798169E-2</c:v>
                </c:pt>
                <c:pt idx="1">
                  <c:v>7.8746605725760407E-2</c:v>
                </c:pt>
                <c:pt idx="2">
                  <c:v>4.7879987108501686E-3</c:v>
                </c:pt>
                <c:pt idx="3">
                  <c:v>2.0397874751078286E-2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8FC-4EC7-8111-2520C7B7798C}"/>
            </c:ext>
          </c:extLst>
        </c:ser>
        <c:ser>
          <c:idx val="6"/>
          <c:order val="2"/>
          <c:tx>
            <c:strRef>
              <c:f>Boyacá!$A$21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Boyacá!$C$15:$F$15</c:f>
              <c:numCache>
                <c:formatCode>General</c:formatCode>
                <c:ptCount val="4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</c:numCache>
            </c:numRef>
          </c:cat>
          <c:val>
            <c:numRef>
              <c:f>Boyacá!$C$21:$F$21</c:f>
              <c:numCache>
                <c:formatCode>0.0%</c:formatCode>
                <c:ptCount val="4"/>
                <c:pt idx="0">
                  <c:v>0.10801198190487835</c:v>
                </c:pt>
                <c:pt idx="1">
                  <c:v>7.3282772942797905E-2</c:v>
                </c:pt>
                <c:pt idx="2">
                  <c:v>7.1238003197433824E-3</c:v>
                </c:pt>
                <c:pt idx="3">
                  <c:v>1.5982818520544038E-2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8FC-4EC7-8111-2520C7B779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73762015"/>
        <c:axId val="973763455"/>
      </c:lineChart>
      <c:catAx>
        <c:axId val="9737620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73763455"/>
        <c:crosses val="autoZero"/>
        <c:auto val="1"/>
        <c:lblAlgn val="ctr"/>
        <c:lblOffset val="100"/>
        <c:noMultiLvlLbl val="0"/>
      </c:catAx>
      <c:valAx>
        <c:axId val="973763455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73762015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zero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Población proyectada anual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Boyacá!$A$5</c:f>
              <c:strCache>
                <c:ptCount val="1"/>
                <c:pt idx="0">
                  <c:v>Boyacá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numRef>
              <c:f>Boyacá!$B$4:$F$4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Boyacá!$B$5:$F$5</c:f>
              <c:numCache>
                <c:formatCode>_-* #,##0_-;\-* #,##0_-;_-* "-"??_-;_-@_-</c:formatCode>
                <c:ptCount val="5"/>
                <c:pt idx="0">
                  <c:v>1257289</c:v>
                </c:pt>
                <c:pt idx="1">
                  <c:v>1271639</c:v>
                </c:pt>
                <c:pt idx="2">
                  <c:v>1285035</c:v>
                </c:pt>
                <c:pt idx="3">
                  <c:v>1298800</c:v>
                </c:pt>
                <c:pt idx="4">
                  <c:v>1311983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A4-47F3-9434-64E339C4A394}"/>
            </c:ext>
          </c:extLst>
        </c:ser>
        <c:ser>
          <c:idx val="1"/>
          <c:order val="1"/>
          <c:tx>
            <c:strRef>
              <c:f>Boyacá!$A$6</c:f>
              <c:strCache>
                <c:ptCount val="1"/>
                <c:pt idx="0">
                  <c:v>Valle del Cauca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numRef>
              <c:f>Boyacá!$B$4:$F$4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Boyacá!$B$6:$F$6</c:f>
              <c:numCache>
                <c:formatCode>_-* #,##0_-;\-* #,##0_-;_-* "-"??_-;_-@_-</c:formatCode>
                <c:ptCount val="5"/>
                <c:pt idx="0">
                  <c:v>4582377</c:v>
                </c:pt>
                <c:pt idx="1">
                  <c:v>4613764</c:v>
                </c:pt>
                <c:pt idx="2">
                  <c:v>4626064</c:v>
                </c:pt>
                <c:pt idx="3">
                  <c:v>4638029</c:v>
                </c:pt>
                <c:pt idx="4">
                  <c:v>4647367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A4-47F3-9434-64E339C4A3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647856959"/>
        <c:axId val="647864639"/>
        <c:extLst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Boyacá!$A$7</c15:sqref>
                        </c15:formulaRef>
                      </c:ext>
                    </c:extLst>
                    <c:strCache>
                      <c:ptCount val="1"/>
                      <c:pt idx="0">
                        <c:v>Colombia</c:v>
                      </c:pt>
                    </c:strCache>
                  </c:strRef>
                </c:tx>
                <c:spPr>
                  <a:solidFill>
                    <a:schemeClr val="accent5">
                      <a:lumMod val="60000"/>
                      <a:lumOff val="4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>
                      <c:ext uri="{02D57815-91ED-43cb-92C2-25804820EDAC}">
                        <c15:formulaRef>
                          <c15:sqref>Boyacá!$B$4:$F$4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2020</c:v>
                      </c:pt>
                      <c:pt idx="1">
                        <c:v>2021</c:v>
                      </c:pt>
                      <c:pt idx="2">
                        <c:v>2022</c:v>
                      </c:pt>
                      <c:pt idx="3">
                        <c:v>2023</c:v>
                      </c:pt>
                      <c:pt idx="4">
                        <c:v>2024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Boyacá!$B$7:$F$7</c15:sqref>
                        </c15:formulaRef>
                      </c:ext>
                    </c:extLst>
                    <c:numCache>
                      <c:formatCode>_-* #,##0_-;\-* #,##0_-;_-* "-"??_-;_-@_-</c:formatCode>
                      <c:ptCount val="5"/>
                      <c:pt idx="0">
                        <c:v>50407647</c:v>
                      </c:pt>
                      <c:pt idx="1">
                        <c:v>51117378</c:v>
                      </c:pt>
                      <c:pt idx="2">
                        <c:v>51682692</c:v>
                      </c:pt>
                      <c:pt idx="3">
                        <c:v>52215503</c:v>
                      </c:pt>
                      <c:pt idx="4">
                        <c:v>52695952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03A4-47F3-9434-64E339C4A394}"/>
                  </c:ext>
                </c:extLst>
              </c15:ser>
            </c15:filteredBarSeries>
          </c:ext>
        </c:extLst>
      </c:barChart>
      <c:catAx>
        <c:axId val="6478569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47864639"/>
        <c:crosses val="autoZero"/>
        <c:auto val="1"/>
        <c:lblAlgn val="ctr"/>
        <c:lblOffset val="100"/>
        <c:noMultiLvlLbl val="0"/>
      </c:catAx>
      <c:valAx>
        <c:axId val="647864639"/>
        <c:scaling>
          <c:orientation val="minMax"/>
        </c:scaling>
        <c:delete val="0"/>
        <c:axPos val="l"/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4785695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Crecimiento de la población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Boyacá!$A$8</c:f>
              <c:strCache>
                <c:ptCount val="1"/>
                <c:pt idx="0">
                  <c:v>Boyacá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Boyacá!$C$4:$F$4</c:f>
              <c:numCache>
                <c:formatCode>General</c:formatCode>
                <c:ptCount val="4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</c:numCache>
            </c:numRef>
          </c:cat>
          <c:val>
            <c:numRef>
              <c:f>Boyacá!$C$8:$F$8</c:f>
              <c:numCache>
                <c:formatCode>0.0%</c:formatCode>
                <c:ptCount val="4"/>
                <c:pt idx="0">
                  <c:v>1.1413445914185203E-2</c:v>
                </c:pt>
                <c:pt idx="1">
                  <c:v>1.0534436266896501E-2</c:v>
                </c:pt>
                <c:pt idx="2">
                  <c:v>1.0711770496523441E-2</c:v>
                </c:pt>
                <c:pt idx="3">
                  <c:v>1.01501385894672E-2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74E-4EF0-8D68-11533D254E68}"/>
            </c:ext>
          </c:extLst>
        </c:ser>
        <c:ser>
          <c:idx val="1"/>
          <c:order val="1"/>
          <c:tx>
            <c:strRef>
              <c:f>Boyacá!$A$9</c:f>
              <c:strCache>
                <c:ptCount val="1"/>
                <c:pt idx="0">
                  <c:v>Valle del Cauca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Boyacá!$C$4:$F$4</c:f>
              <c:numCache>
                <c:formatCode>General</c:formatCode>
                <c:ptCount val="4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</c:numCache>
            </c:numRef>
          </c:cat>
          <c:val>
            <c:numRef>
              <c:f>Boyacá!$C$9:$F$9</c:f>
              <c:numCache>
                <c:formatCode>0.0%</c:formatCode>
                <c:ptCount val="4"/>
                <c:pt idx="0">
                  <c:v>6.8495019069797179E-3</c:v>
                </c:pt>
                <c:pt idx="1">
                  <c:v>2.6659360990289056E-3</c:v>
                </c:pt>
                <c:pt idx="2">
                  <c:v>2.586432007858084E-3</c:v>
                </c:pt>
                <c:pt idx="3">
                  <c:v>2.0133552420651098E-3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74E-4EF0-8D68-11533D254E68}"/>
            </c:ext>
          </c:extLst>
        </c:ser>
        <c:ser>
          <c:idx val="2"/>
          <c:order val="2"/>
          <c:tx>
            <c:strRef>
              <c:f>Boyacá!$A$10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Boyacá!$C$4:$F$4</c:f>
              <c:numCache>
                <c:formatCode>General</c:formatCode>
                <c:ptCount val="4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</c:numCache>
            </c:numRef>
          </c:cat>
          <c:val>
            <c:numRef>
              <c:f>Boyacá!$C$10:$F$10</c:f>
              <c:numCache>
                <c:formatCode>0.0%</c:formatCode>
                <c:ptCount val="4"/>
                <c:pt idx="0">
                  <c:v>1.4079828007048217E-2</c:v>
                </c:pt>
                <c:pt idx="1">
                  <c:v>1.1059135310109216E-2</c:v>
                </c:pt>
                <c:pt idx="2">
                  <c:v>1.0309273363701721E-2</c:v>
                </c:pt>
                <c:pt idx="3">
                  <c:v>9.2012711244015017E-3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74E-4EF0-8D68-11533D254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47856959"/>
        <c:axId val="647864639"/>
      </c:lineChart>
      <c:catAx>
        <c:axId val="6478569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47864639"/>
        <c:crosses val="autoZero"/>
        <c:auto val="1"/>
        <c:lblAlgn val="ctr"/>
        <c:lblOffset val="100"/>
        <c:noMultiLvlLbl val="0"/>
      </c:catAx>
      <c:valAx>
        <c:axId val="647864639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4785695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PIB</a:t>
            </a:r>
            <a:r>
              <a:rPr lang="es-CO" baseline="0"/>
              <a:t> per cápita comparado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Boyacá!$A$31</c:f>
              <c:strCache>
                <c:ptCount val="1"/>
                <c:pt idx="0">
                  <c:v>Boyacá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numRef>
              <c:f>Boyacá!$B$30:$F$30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Boyacá!$B$31:$F$31</c:f>
              <c:numCache>
                <c:formatCode>_-* #,##0_-;\-* #,##0_-;_-* "-"??_-;_-@_-</c:formatCode>
                <c:ptCount val="5"/>
                <c:pt idx="0">
                  <c:v>21061238.629707467</c:v>
                </c:pt>
                <c:pt idx="1">
                  <c:v>24516384.990587588</c:v>
                </c:pt>
                <c:pt idx="2">
                  <c:v>30679467.886540789</c:v>
                </c:pt>
                <c:pt idx="3">
                  <c:v>32550983.375071935</c:v>
                </c:pt>
                <c:pt idx="4">
                  <c:v>34476428.650504656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92E-47A6-A7F9-2F0DC900212F}"/>
            </c:ext>
          </c:extLst>
        </c:ser>
        <c:ser>
          <c:idx val="2"/>
          <c:order val="1"/>
          <c:tx>
            <c:strRef>
              <c:f>Boyacá!$A$32</c:f>
              <c:strCache>
                <c:ptCount val="1"/>
                <c:pt idx="0">
                  <c:v>Valle del Cauca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numRef>
              <c:f>Boyacá!$B$30:$F$30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Boyacá!$B$32:$F$32</c:f>
              <c:numCache>
                <c:formatCode>_-* #,##0_-;\-* #,##0_-;_-* "-"??_-;_-@_-</c:formatCode>
                <c:ptCount val="5"/>
                <c:pt idx="0">
                  <c:v>21847923.806332476</c:v>
                </c:pt>
                <c:pt idx="1">
                  <c:v>25261254.689502876</c:v>
                </c:pt>
                <c:pt idx="2">
                  <c:v>30448844.578981493</c:v>
                </c:pt>
                <c:pt idx="3">
                  <c:v>33109723.623514898</c:v>
                </c:pt>
                <c:pt idx="4">
                  <c:v>35794178.931781851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92E-47A6-A7F9-2F0DC900212F}"/>
            </c:ext>
          </c:extLst>
        </c:ser>
        <c:ser>
          <c:idx val="3"/>
          <c:order val="2"/>
          <c:tx>
            <c:strRef>
              <c:f>Boyacá!$A$33</c:f>
              <c:strCache>
                <c:ptCount val="1"/>
                <c:pt idx="0">
                  <c:v>Colombia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numRef>
              <c:f>Boyacá!$B$30:$F$30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Boyacá!$B$33:$F$33</c:f>
              <c:numCache>
                <c:formatCode>_-* #,##0_-;\-* #,##0_-;_-* "-"??_-;_-@_-</c:formatCode>
                <c:ptCount val="5"/>
                <c:pt idx="0">
                  <c:v>19807927</c:v>
                </c:pt>
                <c:pt idx="1">
                  <c:v>23331283</c:v>
                </c:pt>
                <c:pt idx="2">
                  <c:v>28463668</c:v>
                </c:pt>
                <c:pt idx="3">
                  <c:v>30346581</c:v>
                </c:pt>
                <c:pt idx="4">
                  <c:v>32382889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92E-47A6-A7F9-2F0DC90021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26266207"/>
        <c:axId val="1226266687"/>
        <c:extLst>
          <c:ext xmlns:c15="http://schemas.microsoft.com/office/drawing/2012/chart" uri="{02D57815-91ED-43cb-92C2-25804820EDAC}">
            <c15:filteredBarSeries>
              <c15:ser>
                <c:idx val="4"/>
                <c:order val="3"/>
                <c:tx>
                  <c:strRef>
                    <c:extLst>
                      <c:ext uri="{02D57815-91ED-43cb-92C2-25804820EDAC}">
                        <c15:formulaRef>
                          <c15:sqref>Boyacá!$A$34</c15:sqref>
                        </c15:formulaRef>
                      </c:ext>
                    </c:extLst>
                    <c:strCache>
                      <c:ptCount val="1"/>
                      <c:pt idx="0">
                        <c:v>Boyacá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>
                      <c:ext uri="{02D57815-91ED-43cb-92C2-25804820EDAC}">
                        <c15:formulaRef>
                          <c15:sqref>Boyacá!$B$30:$F$30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2020</c:v>
                      </c:pt>
                      <c:pt idx="1">
                        <c:v>2021</c:v>
                      </c:pt>
                      <c:pt idx="2">
                        <c:v>2022</c:v>
                      </c:pt>
                      <c:pt idx="3">
                        <c:v>2023</c:v>
                      </c:pt>
                      <c:pt idx="4">
                        <c:v>2024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Boyacá!$B$34:$F$34</c15:sqref>
                        </c15:formulaRef>
                      </c:ext>
                    </c:extLst>
                    <c:numCache>
                      <c:formatCode>0.0%</c:formatCode>
                      <c:ptCount val="5"/>
                      <c:pt idx="1">
                        <c:v>0.1640523818008757</c:v>
                      </c:pt>
                      <c:pt idx="2">
                        <c:v>0.25138628302334753</c:v>
                      </c:pt>
                      <c:pt idx="3">
                        <c:v>6.1002214753280902E-2</c:v>
                      </c:pt>
                      <c:pt idx="4">
                        <c:v>5.9151677638939096E-2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492E-47A6-A7F9-2F0DC900212F}"/>
                  </c:ext>
                </c:extLst>
              </c15:ser>
            </c15:filteredBarSeries>
            <c15:filteredBarSeries>
              <c15:ser>
                <c:idx val="5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Boyacá!$A$35</c15:sqref>
                        </c15:formulaRef>
                      </c:ext>
                    </c:extLst>
                    <c:strCache>
                      <c:ptCount val="1"/>
                      <c:pt idx="0">
                        <c:v>Valle del Cauca</c:v>
                      </c:pt>
                    </c:strCache>
                  </c:strRef>
                </c:tx>
                <c:spPr>
                  <a:solidFill>
                    <a:schemeClr val="accent6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Boyacá!$B$30:$F$30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2020</c:v>
                      </c:pt>
                      <c:pt idx="1">
                        <c:v>2021</c:v>
                      </c:pt>
                      <c:pt idx="2">
                        <c:v>2022</c:v>
                      </c:pt>
                      <c:pt idx="3">
                        <c:v>2023</c:v>
                      </c:pt>
                      <c:pt idx="4">
                        <c:v>2024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Boyacá!$B$35:$F$35</c15:sqref>
                        </c15:formulaRef>
                      </c:ext>
                    </c:extLst>
                    <c:numCache>
                      <c:formatCode>0.0%</c:formatCode>
                      <c:ptCount val="5"/>
                      <c:pt idx="1">
                        <c:v>0.15623136154388584</c:v>
                      </c:pt>
                      <c:pt idx="2">
                        <c:v>0.20535757044697706</c:v>
                      </c:pt>
                      <c:pt idx="3">
                        <c:v>8.7388506241388927E-2</c:v>
                      </c:pt>
                      <c:pt idx="4">
                        <c:v>8.1077551078089408E-2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492E-47A6-A7F9-2F0DC900212F}"/>
                  </c:ext>
                </c:extLst>
              </c15:ser>
            </c15:filteredBarSeries>
            <c15:filteredBarSeries>
              <c15:ser>
                <c:idx val="6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Boyacá!$A$36</c15:sqref>
                        </c15:formulaRef>
                      </c:ext>
                    </c:extLst>
                    <c:strCache>
                      <c:ptCount val="1"/>
                      <c:pt idx="0">
                        <c:v>Colombia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Boyacá!$B$30:$F$30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2020</c:v>
                      </c:pt>
                      <c:pt idx="1">
                        <c:v>2021</c:v>
                      </c:pt>
                      <c:pt idx="2">
                        <c:v>2022</c:v>
                      </c:pt>
                      <c:pt idx="3">
                        <c:v>2023</c:v>
                      </c:pt>
                      <c:pt idx="4">
                        <c:v>2024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Boyacá!$B$36:$F$36</c15:sqref>
                        </c15:formulaRef>
                      </c:ext>
                    </c:extLst>
                    <c:numCache>
                      <c:formatCode>0.0%</c:formatCode>
                      <c:ptCount val="5"/>
                      <c:pt idx="1">
                        <c:v>0.17787605941802997</c:v>
                      </c:pt>
                      <c:pt idx="2">
                        <c:v>0.21997868698433773</c:v>
                      </c:pt>
                      <c:pt idx="3">
                        <c:v>6.6151453143705866E-2</c:v>
                      </c:pt>
                      <c:pt idx="4">
                        <c:v>6.7101727209401288E-2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492E-47A6-A7F9-2F0DC900212F}"/>
                  </c:ext>
                </c:extLst>
              </c15:ser>
            </c15:filteredBarSeries>
          </c:ext>
        </c:extLst>
      </c:barChart>
      <c:catAx>
        <c:axId val="12262662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26266687"/>
        <c:crosses val="autoZero"/>
        <c:auto val="1"/>
        <c:lblAlgn val="ctr"/>
        <c:lblOffset val="100"/>
        <c:noMultiLvlLbl val="0"/>
      </c:catAx>
      <c:valAx>
        <c:axId val="1226266687"/>
        <c:scaling>
          <c:orientation val="minMax"/>
        </c:scaling>
        <c:delete val="0"/>
        <c:axPos val="l"/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26266207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Valor agregado provincial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Económico!$A$11</c:f>
              <c:strCache>
                <c:ptCount val="1"/>
                <c:pt idx="0">
                  <c:v>Provincia</c:v>
                </c:pt>
              </c:strCache>
            </c:strRef>
          </c:tx>
          <c:spPr>
            <a:solidFill>
              <a:schemeClr val="accent1">
                <a:shade val="76000"/>
              </a:schemeClr>
            </a:solidFill>
            <a:ln>
              <a:noFill/>
            </a:ln>
            <a:effectLst/>
          </c:spPr>
          <c:invertIfNegative val="0"/>
          <c:cat>
            <c:strRef>
              <c:f>Económico!$B$10:$C$10</c:f>
              <c:strCache>
                <c:ptCount val="2"/>
                <c:pt idx="0">
                  <c:v>Sugamuxi</c:v>
                </c:pt>
                <c:pt idx="1">
                  <c:v>Centro</c:v>
                </c:pt>
              </c:strCache>
            </c:strRef>
          </c:cat>
          <c:val>
            <c:numRef>
              <c:f>Económico!$B$11:$C$11</c:f>
              <c:numCache>
                <c:formatCode>_-* #,##0_-;\-* #,##0_-;_-* "-"??_-;_-@_-</c:formatCode>
                <c:ptCount val="2"/>
                <c:pt idx="0">
                  <c:v>8808.6496213935043</c:v>
                </c:pt>
                <c:pt idx="1">
                  <c:v>8644.9689293144038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6E-4B46-88AA-0DC0546F2047}"/>
            </c:ext>
          </c:extLst>
        </c:ser>
        <c:ser>
          <c:idx val="1"/>
          <c:order val="1"/>
          <c:tx>
            <c:strRef>
              <c:f>Económico!$A$12</c:f>
              <c:strCache>
                <c:ptCount val="1"/>
                <c:pt idx="0">
                  <c:v>Departamento</c:v>
                </c:pt>
              </c:strCache>
            </c:strRef>
          </c:tx>
          <c:spPr>
            <a:solidFill>
              <a:schemeClr val="accent1">
                <a:tint val="77000"/>
              </a:schemeClr>
            </a:solidFill>
            <a:ln>
              <a:noFill/>
            </a:ln>
            <a:effectLst/>
          </c:spPr>
          <c:invertIfNegative val="0"/>
          <c:cat>
            <c:strRef>
              <c:f>Económico!$B$10:$C$10</c:f>
              <c:strCache>
                <c:ptCount val="2"/>
                <c:pt idx="0">
                  <c:v>Sugamuxi</c:v>
                </c:pt>
                <c:pt idx="1">
                  <c:v>Centro</c:v>
                </c:pt>
              </c:strCache>
            </c:strRef>
          </c:cat>
          <c:val>
            <c:numRef>
              <c:f>Económico!$B$12:$C$12</c:f>
              <c:numCache>
                <c:formatCode>_-* #,##0_-;\-* #,##0_-;_-* "-"??_-;_-@_-</c:formatCode>
                <c:ptCount val="2"/>
                <c:pt idx="0">
                  <c:v>39049.173500554636</c:v>
                </c:pt>
                <c:pt idx="1">
                  <c:v>39049.173500554636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6E-4B46-88AA-0DC0546F20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1198800704"/>
        <c:axId val="1198817024"/>
      </c:barChart>
      <c:catAx>
        <c:axId val="1198800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98817024"/>
        <c:crosses val="autoZero"/>
        <c:auto val="1"/>
        <c:lblAlgn val="ctr"/>
        <c:lblOffset val="100"/>
        <c:noMultiLvlLbl val="0"/>
      </c:catAx>
      <c:valAx>
        <c:axId val="119881702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Miles de millones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9880070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Crecimiento del PIB pc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4"/>
          <c:order val="0"/>
          <c:tx>
            <c:strRef>
              <c:f>Boyacá!$A$34</c:f>
              <c:strCache>
                <c:ptCount val="1"/>
                <c:pt idx="0">
                  <c:v>Boyacá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Boyacá!$C$30:$F$30</c:f>
              <c:numCache>
                <c:formatCode>General</c:formatCode>
                <c:ptCount val="4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</c:numCache>
            </c:numRef>
          </c:cat>
          <c:val>
            <c:numRef>
              <c:f>Boyacá!$C$34:$F$34</c:f>
              <c:numCache>
                <c:formatCode>0.0%</c:formatCode>
                <c:ptCount val="4"/>
                <c:pt idx="0">
                  <c:v>0.1640523818008757</c:v>
                </c:pt>
                <c:pt idx="1">
                  <c:v>0.25138628302334753</c:v>
                </c:pt>
                <c:pt idx="2">
                  <c:v>6.1002214753280902E-2</c:v>
                </c:pt>
                <c:pt idx="3">
                  <c:v>5.9151677638939096E-2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6CB-46E4-8EE9-959FF73A919F}"/>
            </c:ext>
          </c:extLst>
        </c:ser>
        <c:ser>
          <c:idx val="5"/>
          <c:order val="1"/>
          <c:tx>
            <c:strRef>
              <c:f>Boyacá!$A$35</c:f>
              <c:strCache>
                <c:ptCount val="1"/>
                <c:pt idx="0">
                  <c:v>Valle del Cauca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Boyacá!$C$30:$F$30</c:f>
              <c:numCache>
                <c:formatCode>General</c:formatCode>
                <c:ptCount val="4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</c:numCache>
            </c:numRef>
          </c:cat>
          <c:val>
            <c:numRef>
              <c:f>Boyacá!$C$35:$F$35</c:f>
              <c:numCache>
                <c:formatCode>0.0%</c:formatCode>
                <c:ptCount val="4"/>
                <c:pt idx="0">
                  <c:v>0.15623136154388584</c:v>
                </c:pt>
                <c:pt idx="1">
                  <c:v>0.20535757044697706</c:v>
                </c:pt>
                <c:pt idx="2">
                  <c:v>8.7388506241388927E-2</c:v>
                </c:pt>
                <c:pt idx="3">
                  <c:v>8.1077551078089408E-2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6CB-46E4-8EE9-959FF73A919F}"/>
            </c:ext>
          </c:extLst>
        </c:ser>
        <c:ser>
          <c:idx val="6"/>
          <c:order val="2"/>
          <c:tx>
            <c:strRef>
              <c:f>Boyacá!$A$36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Boyacá!$C$30:$F$30</c:f>
              <c:numCache>
                <c:formatCode>General</c:formatCode>
                <c:ptCount val="4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</c:numCache>
            </c:numRef>
          </c:cat>
          <c:val>
            <c:numRef>
              <c:f>Boyacá!$C$36:$F$36</c:f>
              <c:numCache>
                <c:formatCode>0.0%</c:formatCode>
                <c:ptCount val="4"/>
                <c:pt idx="0">
                  <c:v>0.17787605941802997</c:v>
                </c:pt>
                <c:pt idx="1">
                  <c:v>0.21997868698433773</c:v>
                </c:pt>
                <c:pt idx="2">
                  <c:v>6.6151453143705866E-2</c:v>
                </c:pt>
                <c:pt idx="3">
                  <c:v>6.7101727209401288E-2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6CB-46E4-8EE9-959FF73A91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26266207"/>
        <c:axId val="1226266687"/>
      </c:lineChart>
      <c:catAx>
        <c:axId val="12262662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26266687"/>
        <c:crosses val="autoZero"/>
        <c:auto val="1"/>
        <c:lblAlgn val="ctr"/>
        <c:lblOffset val="100"/>
        <c:noMultiLvlLbl val="0"/>
      </c:catAx>
      <c:valAx>
        <c:axId val="1226266687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26266207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Índice</a:t>
            </a:r>
            <a:r>
              <a:rPr lang="es-CO" baseline="0"/>
              <a:t> de competitividad departamental -ICD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1"/>
          <c:order val="1"/>
          <c:tx>
            <c:strRef>
              <c:f>Boyacá!$A$44</c:f>
              <c:strCache>
                <c:ptCount val="1"/>
                <c:pt idx="0">
                  <c:v>Boyacá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Boyacá!$B$43:$F$43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Boyacá!$B$44:$F$44</c:f>
              <c:numCache>
                <c:formatCode>_-* #,##0_-;\-* #,##0_-;_-* "-"??_-;_-@_-</c:formatCode>
                <c:ptCount val="5"/>
                <c:pt idx="0">
                  <c:v>9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122-4A32-A2EE-3D6CA72C534E}"/>
            </c:ext>
          </c:extLst>
        </c:ser>
        <c:ser>
          <c:idx val="2"/>
          <c:order val="2"/>
          <c:tx>
            <c:strRef>
              <c:f>Boyacá!$A$45</c:f>
              <c:strCache>
                <c:ptCount val="1"/>
                <c:pt idx="0">
                  <c:v>Valle del Cauca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Boyacá!$B$43:$F$43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Boyacá!$B$45:$F$45</c:f>
              <c:numCache>
                <c:formatCode>_-* #,##0_-;\-* #,##0_-;_-* "-"??_-;_-@_-</c:formatCode>
                <c:ptCount val="5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5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122-4A32-A2EE-3D6CA72C53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26828143"/>
        <c:axId val="1226829583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Boyacá!$A$43</c15:sqref>
                        </c15:formulaRef>
                      </c:ext>
                    </c:extLst>
                    <c:strCache>
                      <c:ptCount val="1"/>
                      <c:pt idx="0">
                        <c:v>ICD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>
                      <c:ext uri="{02D57815-91ED-43cb-92C2-25804820EDAC}">
                        <c15:formulaRef>
                          <c15:sqref>Boyacá!$B$43:$F$43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2020</c:v>
                      </c:pt>
                      <c:pt idx="1">
                        <c:v>2021</c:v>
                      </c:pt>
                      <c:pt idx="2">
                        <c:v>2022</c:v>
                      </c:pt>
                      <c:pt idx="3">
                        <c:v>2023</c:v>
                      </c:pt>
                      <c:pt idx="4">
                        <c:v>2024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Boyacá!$B$43:$F$43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2020</c:v>
                      </c:pt>
                      <c:pt idx="1">
                        <c:v>2021</c:v>
                      </c:pt>
                      <c:pt idx="2">
                        <c:v>2022</c:v>
                      </c:pt>
                      <c:pt idx="3">
                        <c:v>2023</c:v>
                      </c:pt>
                      <c:pt idx="4">
                        <c:v>2024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F122-4A32-A2EE-3D6CA72C534E}"/>
                  </c:ext>
                </c:extLst>
              </c15:ser>
            </c15:filteredBarSeries>
          </c:ext>
        </c:extLst>
      </c:barChart>
      <c:catAx>
        <c:axId val="122682814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26829583"/>
        <c:crosses val="autoZero"/>
        <c:auto val="1"/>
        <c:lblAlgn val="ctr"/>
        <c:lblOffset val="100"/>
        <c:noMultiLvlLbl val="0"/>
      </c:catAx>
      <c:valAx>
        <c:axId val="1226829583"/>
        <c:scaling>
          <c:orientation val="minMax"/>
        </c:scaling>
        <c:delete val="0"/>
        <c:axPos val="b"/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268281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Pobreza monetaria (%)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Boyacá!$A$60</c:f>
              <c:strCache>
                <c:ptCount val="1"/>
                <c:pt idx="0">
                  <c:v>Boyacá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Boyacá!$C$59:$E$59</c:f>
              <c:numCache>
                <c:formatCode>General</c:formatCode>
                <c:ptCount val="3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</c:numCache>
            </c:numRef>
          </c:cat>
          <c:val>
            <c:numRef>
              <c:f>Boyacá!$C$60:$E$60</c:f>
              <c:numCache>
                <c:formatCode>_-* #,##0_-;\-* #,##0_-;_-* "-"??_-;_-@_-</c:formatCode>
                <c:ptCount val="3"/>
                <c:pt idx="0">
                  <c:v>41.8</c:v>
                </c:pt>
                <c:pt idx="1">
                  <c:v>36.299999999999997</c:v>
                </c:pt>
                <c:pt idx="2">
                  <c:v>31.1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604-4680-8F6F-08C053D2FCBC}"/>
            </c:ext>
          </c:extLst>
        </c:ser>
        <c:ser>
          <c:idx val="2"/>
          <c:order val="1"/>
          <c:tx>
            <c:strRef>
              <c:f>Boyacá!$A$61</c:f>
              <c:strCache>
                <c:ptCount val="1"/>
                <c:pt idx="0">
                  <c:v>Valle del Cauca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Boyacá!$C$59:$E$59</c:f>
              <c:numCache>
                <c:formatCode>General</c:formatCode>
                <c:ptCount val="3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</c:numCache>
            </c:numRef>
          </c:cat>
          <c:val>
            <c:numRef>
              <c:f>Boyacá!$C$61:$E$61</c:f>
              <c:numCache>
                <c:formatCode>_-* #,##0_-;\-* #,##0_-;_-* "-"??_-;_-@_-</c:formatCode>
                <c:ptCount val="3"/>
                <c:pt idx="0">
                  <c:v>32.1</c:v>
                </c:pt>
                <c:pt idx="1">
                  <c:v>28.1</c:v>
                </c:pt>
                <c:pt idx="2">
                  <c:v>26.6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604-4680-8F6F-08C053D2FCBC}"/>
            </c:ext>
          </c:extLst>
        </c:ser>
        <c:ser>
          <c:idx val="3"/>
          <c:order val="2"/>
          <c:tx>
            <c:strRef>
              <c:f>Boyacá!$A$62</c:f>
              <c:strCache>
                <c:ptCount val="1"/>
                <c:pt idx="0">
                  <c:v>Colombia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Boyacá!$C$59:$E$59</c:f>
              <c:numCache>
                <c:formatCode>General</c:formatCode>
                <c:ptCount val="3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</c:numCache>
            </c:numRef>
          </c:cat>
          <c:val>
            <c:numRef>
              <c:f>Boyacá!$C$62:$E$62</c:f>
              <c:numCache>
                <c:formatCode>_-* #,##0_-;\-* #,##0_-;_-* "-"??_-;_-@_-</c:formatCode>
                <c:ptCount val="3"/>
                <c:pt idx="0">
                  <c:v>39.700000000000003</c:v>
                </c:pt>
                <c:pt idx="1">
                  <c:v>36.6</c:v>
                </c:pt>
                <c:pt idx="2">
                  <c:v>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604-4680-8F6F-08C053D2FC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98893376"/>
        <c:axId val="1098896256"/>
      </c:barChart>
      <c:catAx>
        <c:axId val="1098893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98896256"/>
        <c:crosses val="autoZero"/>
        <c:auto val="1"/>
        <c:lblAlgn val="ctr"/>
        <c:lblOffset val="100"/>
        <c:noMultiLvlLbl val="0"/>
      </c:catAx>
      <c:valAx>
        <c:axId val="1098896256"/>
        <c:scaling>
          <c:orientation val="minMax"/>
        </c:scaling>
        <c:delete val="0"/>
        <c:axPos val="l"/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988933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Pobreza muldidimensional (%)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Boyacá!$A$65</c:f>
              <c:strCache>
                <c:ptCount val="1"/>
                <c:pt idx="0">
                  <c:v>Boyacá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Boyacá!$C$59:$F$59</c:f>
              <c:numCache>
                <c:formatCode>General</c:formatCode>
                <c:ptCount val="4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</c:numCache>
            </c:numRef>
          </c:cat>
          <c:val>
            <c:numRef>
              <c:f>Boyacá!$C$65:$F$65</c:f>
              <c:numCache>
                <c:formatCode>_-* #,##0_-;\-* #,##0_-;_-* "-"??_-;_-@_-</c:formatCode>
                <c:ptCount val="4"/>
                <c:pt idx="0">
                  <c:v>11.7</c:v>
                </c:pt>
                <c:pt idx="1">
                  <c:v>9.6</c:v>
                </c:pt>
                <c:pt idx="2">
                  <c:v>9.9</c:v>
                </c:pt>
                <c:pt idx="3">
                  <c:v>6.9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98F-476E-AB2A-0DE67E3B63AC}"/>
            </c:ext>
          </c:extLst>
        </c:ser>
        <c:ser>
          <c:idx val="2"/>
          <c:order val="1"/>
          <c:tx>
            <c:strRef>
              <c:f>Boyacá!$A$66</c:f>
              <c:strCache>
                <c:ptCount val="1"/>
                <c:pt idx="0">
                  <c:v>Valle del Cauca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Boyacá!$C$59:$F$59</c:f>
              <c:numCache>
                <c:formatCode>General</c:formatCode>
                <c:ptCount val="4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</c:numCache>
            </c:numRef>
          </c:cat>
          <c:val>
            <c:numRef>
              <c:f>Boyacá!$C$66:$F$66</c:f>
              <c:numCache>
                <c:formatCode>_-* #,##0_-;\-* #,##0_-;_-* "-"??_-;_-@_-</c:formatCode>
                <c:ptCount val="4"/>
                <c:pt idx="0">
                  <c:v>8.6</c:v>
                </c:pt>
                <c:pt idx="1">
                  <c:v>9.6999999999999993</c:v>
                </c:pt>
                <c:pt idx="2">
                  <c:v>7.2</c:v>
                </c:pt>
                <c:pt idx="3">
                  <c:v>6.2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98F-476E-AB2A-0DE67E3B63AC}"/>
            </c:ext>
          </c:extLst>
        </c:ser>
        <c:ser>
          <c:idx val="3"/>
          <c:order val="2"/>
          <c:tx>
            <c:strRef>
              <c:f>Boyacá!$A$67</c:f>
              <c:strCache>
                <c:ptCount val="1"/>
                <c:pt idx="0">
                  <c:v>Colombia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Boyacá!$C$59:$F$59</c:f>
              <c:numCache>
                <c:formatCode>General</c:formatCode>
                <c:ptCount val="4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</c:numCache>
            </c:numRef>
          </c:cat>
          <c:val>
            <c:numRef>
              <c:f>Boyacá!$C$67:$F$67</c:f>
              <c:numCache>
                <c:formatCode>_-* #,##0_-;\-* #,##0_-;_-* "-"??_-;_-@_-</c:formatCode>
                <c:ptCount val="4"/>
                <c:pt idx="0">
                  <c:v>40.799999999999997</c:v>
                </c:pt>
                <c:pt idx="1">
                  <c:v>40.299999999999997</c:v>
                </c:pt>
                <c:pt idx="2">
                  <c:v>40.1</c:v>
                </c:pt>
                <c:pt idx="3">
                  <c:v>40.200000000000003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98F-476E-AB2A-0DE67E3B63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98893376"/>
        <c:axId val="1098896256"/>
      </c:barChart>
      <c:catAx>
        <c:axId val="1098893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98896256"/>
        <c:crosses val="autoZero"/>
        <c:auto val="1"/>
        <c:lblAlgn val="ctr"/>
        <c:lblOffset val="100"/>
        <c:noMultiLvlLbl val="0"/>
      </c:catAx>
      <c:valAx>
        <c:axId val="1098896256"/>
        <c:scaling>
          <c:orientation val="minMax"/>
        </c:scaling>
        <c:delete val="0"/>
        <c:axPos val="l"/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988933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Desigualdad medida</a:t>
            </a:r>
            <a:r>
              <a:rPr lang="es-CO" baseline="0"/>
              <a:t> por el coeficiente de Gini</a:t>
            </a:r>
            <a:endParaRPr lang="es-CO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Boyacá!$A$73</c:f>
              <c:strCache>
                <c:ptCount val="1"/>
                <c:pt idx="0">
                  <c:v>Boyacá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/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Boyacá!$C$72:$E$72</c:f>
              <c:numCache>
                <c:formatCode>General</c:formatCode>
                <c:ptCount val="3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</c:numCache>
            </c:numRef>
          </c:cat>
          <c:val>
            <c:numRef>
              <c:f>Boyacá!$C$73:$E$73</c:f>
              <c:numCache>
                <c:formatCode>_(* #,##0.00_);_(* \(#,##0.00\);_(* "-"??_);_(@_)</c:formatCode>
                <c:ptCount val="3"/>
                <c:pt idx="0">
                  <c:v>0.52900000000000003</c:v>
                </c:pt>
                <c:pt idx="1">
                  <c:v>0.51600000000000001</c:v>
                </c:pt>
                <c:pt idx="2">
                  <c:v>0.498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6C75-4200-B627-E88A868BEE32}"/>
            </c:ext>
          </c:extLst>
        </c:ser>
        <c:ser>
          <c:idx val="4"/>
          <c:order val="1"/>
          <c:tx>
            <c:strRef>
              <c:f>Boyacá!$A$74</c:f>
              <c:strCache>
                <c:ptCount val="1"/>
                <c:pt idx="0">
                  <c:v>Valle del Cauca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/>
                </a:pPr>
                <a:endParaRPr lang="es-CO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Boyacá!$C$72:$E$72</c:f>
              <c:numCache>
                <c:formatCode>General</c:formatCode>
                <c:ptCount val="3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</c:numCache>
            </c:numRef>
          </c:cat>
          <c:val>
            <c:numRef>
              <c:f>Boyacá!$C$74:$E$74</c:f>
              <c:numCache>
                <c:formatCode>_(* #,##0.00_);_(* \(#,##0.00\);_(* "-"??_);_(@_)</c:formatCode>
                <c:ptCount val="3"/>
                <c:pt idx="0">
                  <c:v>0.52300000000000002</c:v>
                </c:pt>
                <c:pt idx="1">
                  <c:v>0.52100000000000002</c:v>
                </c:pt>
                <c:pt idx="2">
                  <c:v>0.51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6C75-4200-B627-E88A868BEE32}"/>
            </c:ext>
          </c:extLst>
        </c:ser>
        <c:ser>
          <c:idx val="5"/>
          <c:order val="2"/>
          <c:tx>
            <c:strRef>
              <c:f>Boyacá!$A$75</c:f>
              <c:strCache>
                <c:ptCount val="1"/>
                <c:pt idx="0">
                  <c:v>Colombia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/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Boyacá!$C$72:$E$72</c:f>
              <c:numCache>
                <c:formatCode>General</c:formatCode>
                <c:ptCount val="3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</c:numCache>
            </c:numRef>
          </c:cat>
          <c:val>
            <c:numRef>
              <c:f>Boyacá!$C$75:$E$75</c:f>
              <c:numCache>
                <c:formatCode>_(* #,##0.00_);_(* \(#,##0.00\);_(* "-"??_);_(@_)</c:formatCode>
                <c:ptCount val="3"/>
                <c:pt idx="0">
                  <c:v>0.56299999999999994</c:v>
                </c:pt>
                <c:pt idx="1">
                  <c:v>0.55600000000000005</c:v>
                </c:pt>
                <c:pt idx="2">
                  <c:v>0.54600000000000004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6C75-4200-B627-E88A868BEE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6253264"/>
        <c:axId val="326246064"/>
      </c:lineChart>
      <c:catAx>
        <c:axId val="326253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26246064"/>
        <c:crosses val="autoZero"/>
        <c:auto val="1"/>
        <c:lblAlgn val="ctr"/>
        <c:lblOffset val="100"/>
        <c:noMultiLvlLbl val="0"/>
      </c:catAx>
      <c:valAx>
        <c:axId val="326246064"/>
        <c:scaling>
          <c:orientation val="minMax"/>
        </c:scaling>
        <c:delete val="0"/>
        <c:axPos val="l"/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26253264"/>
        <c:crosses val="autoZero"/>
        <c:crossBetween val="between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/>
  </c:chart>
  <c:spPr>
    <a:ln>
      <a:noFill/>
    </a:ln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Tasa de desempleo (%)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Boyacá!$A$79</c:f>
              <c:strCache>
                <c:ptCount val="1"/>
                <c:pt idx="0">
                  <c:v>Boyacá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Boyacá!$B$78:$F$78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Boyacá!$B$79:$F$79</c:f>
              <c:numCache>
                <c:formatCode>_(* #,##0.00_);_(* \(#,##0.00\);_(* "-"??_);_(@_)</c:formatCode>
                <c:ptCount val="5"/>
                <c:pt idx="0">
                  <c:v>11.91126495</c:v>
                </c:pt>
                <c:pt idx="1">
                  <c:v>12.006195023</c:v>
                </c:pt>
                <c:pt idx="2">
                  <c:v>10.657177337</c:v>
                </c:pt>
                <c:pt idx="3">
                  <c:v>9.899819742</c:v>
                </c:pt>
                <c:pt idx="4">
                  <c:v>8.6725650519999995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8C3-4AE6-853C-010B6203B93E}"/>
            </c:ext>
          </c:extLst>
        </c:ser>
        <c:ser>
          <c:idx val="2"/>
          <c:order val="1"/>
          <c:tx>
            <c:strRef>
              <c:f>Boyacá!$A$80</c:f>
              <c:strCache>
                <c:ptCount val="1"/>
                <c:pt idx="0">
                  <c:v>Valle del Cauca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Boyacá!$B$78:$F$78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Boyacá!$B$80:$F$80</c:f>
              <c:numCache>
                <c:formatCode>_(* #,##0.00_);_(* \(#,##0.00\);_(* "-"??_);_(@_)</c:formatCode>
                <c:ptCount val="5"/>
                <c:pt idx="0">
                  <c:v>20.956546081999999</c:v>
                </c:pt>
                <c:pt idx="1">
                  <c:v>16.531417978</c:v>
                </c:pt>
                <c:pt idx="2">
                  <c:v>13.234388320000001</c:v>
                </c:pt>
                <c:pt idx="3">
                  <c:v>11.722654166</c:v>
                </c:pt>
                <c:pt idx="4">
                  <c:v>12.072426023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8C3-4AE6-853C-010B6203B93E}"/>
            </c:ext>
          </c:extLst>
        </c:ser>
        <c:ser>
          <c:idx val="3"/>
          <c:order val="2"/>
          <c:tx>
            <c:strRef>
              <c:f>Boyacá!$A$81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Boyacá!$B$78:$F$78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Boyacá!$B$81:$F$81</c:f>
              <c:numCache>
                <c:formatCode>_(* #,##0.00_);_(* \(#,##0.00\);_(* "-"??_);_(@_)</c:formatCode>
                <c:ptCount val="5"/>
                <c:pt idx="0">
                  <c:v>14.770331037006226</c:v>
                </c:pt>
                <c:pt idx="1">
                  <c:v>11.836527151616345</c:v>
                </c:pt>
                <c:pt idx="2">
                  <c:v>11.836527151616345</c:v>
                </c:pt>
                <c:pt idx="3">
                  <c:v>10.507457305613837</c:v>
                </c:pt>
                <c:pt idx="4">
                  <c:v>9.5444512973352573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8C3-4AE6-853C-010B6203B9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6266224"/>
        <c:axId val="326245584"/>
      </c:lineChart>
      <c:catAx>
        <c:axId val="326266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26245584"/>
        <c:crosses val="autoZero"/>
        <c:auto val="1"/>
        <c:lblAlgn val="ctr"/>
        <c:lblOffset val="100"/>
        <c:noMultiLvlLbl val="0"/>
      </c:catAx>
      <c:valAx>
        <c:axId val="32624558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Porcentaje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2626622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2400"/>
              <a:t>Comparativo del</a:t>
            </a:r>
            <a:r>
              <a:rPr lang="es-CO" sz="2400" baseline="0"/>
              <a:t> tejido empresarial</a:t>
            </a:r>
            <a:endParaRPr lang="es-CO" sz="24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6"/>
          <c:order val="0"/>
          <c:tx>
            <c:strRef>
              <c:f>Tejido!$H$6</c:f>
              <c:strCache>
                <c:ptCount val="1"/>
                <c:pt idx="0">
                  <c:v>Renovaciones Cámara de Comercio de Duitama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Tejido!$A$7:$A$25</c:f>
              <c:strCache>
                <c:ptCount val="19"/>
                <c:pt idx="0">
                  <c:v>Agricultura, ganadería, caza, silvicultura y pesca</c:v>
                </c:pt>
                <c:pt idx="1">
                  <c:v>Explotación de minas y canteras</c:v>
                </c:pt>
                <c:pt idx="2">
                  <c:v>Industria Manufacturera</c:v>
                </c:pt>
                <c:pt idx="3">
                  <c:v>Suministro de electricidad, gas y vapor y aire acond.</c:v>
                </c:pt>
                <c:pt idx="4">
                  <c:v>Destribución de agua, evacuación y tratamiento de aguas residuales…</c:v>
                </c:pt>
                <c:pt idx="5">
                  <c:v>Construcción</c:v>
                </c:pt>
                <c:pt idx="6">
                  <c:v>Comercio al por mayor y menor, reparación de vehículos…</c:v>
                </c:pt>
                <c:pt idx="7">
                  <c:v>Transporte y almacenamiento</c:v>
                </c:pt>
                <c:pt idx="8">
                  <c:v>Alojamiento y servicios de comidas</c:v>
                </c:pt>
                <c:pt idx="9">
                  <c:v>Información y comunicaciones</c:v>
                </c:pt>
                <c:pt idx="10">
                  <c:v>Actividades financieras y de seguros</c:v>
                </c:pt>
                <c:pt idx="11">
                  <c:v>Actividades inmobiliarias</c:v>
                </c:pt>
                <c:pt idx="12">
                  <c:v>Actividades profesionales, científicas y técnicas</c:v>
                </c:pt>
                <c:pt idx="13">
                  <c:v>Actividades de servicios administrativos y de apoyo</c:v>
                </c:pt>
                <c:pt idx="14">
                  <c:v>Administración pública y defensa, planes de seguridad social…</c:v>
                </c:pt>
                <c:pt idx="15">
                  <c:v>Educación</c:v>
                </c:pt>
                <c:pt idx="16">
                  <c:v>Actividades de atención de la salud humana y de asistencia social</c:v>
                </c:pt>
                <c:pt idx="17">
                  <c:v>Actividades artísticas, entretenimiento y recreación</c:v>
                </c:pt>
                <c:pt idx="18">
                  <c:v>Otras actividades de servicios</c:v>
                </c:pt>
              </c:strCache>
            </c:strRef>
          </c:cat>
          <c:val>
            <c:numRef>
              <c:f>Tejido!$H$7:$H$25</c:f>
              <c:numCache>
                <c:formatCode>_-* #,##0_-;\-* #,##0_-;_-* "-"??_-;_-@_-</c:formatCode>
                <c:ptCount val="19"/>
                <c:pt idx="0">
                  <c:v>218</c:v>
                </c:pt>
                <c:pt idx="1">
                  <c:v>426</c:v>
                </c:pt>
                <c:pt idx="2">
                  <c:v>1387</c:v>
                </c:pt>
                <c:pt idx="3">
                  <c:v>9</c:v>
                </c:pt>
                <c:pt idx="4">
                  <c:v>215</c:v>
                </c:pt>
                <c:pt idx="5">
                  <c:v>534</c:v>
                </c:pt>
                <c:pt idx="6">
                  <c:v>7083</c:v>
                </c:pt>
                <c:pt idx="7">
                  <c:v>753</c:v>
                </c:pt>
                <c:pt idx="8">
                  <c:v>2272</c:v>
                </c:pt>
                <c:pt idx="9">
                  <c:v>200</c:v>
                </c:pt>
                <c:pt idx="10">
                  <c:v>87</c:v>
                </c:pt>
                <c:pt idx="11">
                  <c:v>106</c:v>
                </c:pt>
                <c:pt idx="12">
                  <c:v>599</c:v>
                </c:pt>
                <c:pt idx="13">
                  <c:v>400</c:v>
                </c:pt>
                <c:pt idx="14">
                  <c:v>8</c:v>
                </c:pt>
                <c:pt idx="15">
                  <c:v>69</c:v>
                </c:pt>
                <c:pt idx="16">
                  <c:v>134</c:v>
                </c:pt>
                <c:pt idx="17">
                  <c:v>294</c:v>
                </c:pt>
                <c:pt idx="18">
                  <c:v>1070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E25-4BD3-91BF-F94FE12C3C77}"/>
            </c:ext>
          </c:extLst>
        </c:ser>
        <c:ser>
          <c:idx val="7"/>
          <c:order val="1"/>
          <c:tx>
            <c:strRef>
              <c:f>Tejido!$I$6</c:f>
              <c:strCache>
                <c:ptCount val="1"/>
                <c:pt idx="0">
                  <c:v>Renovaciones Cámara de Comercio de Tunja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Tejido!$A$7:$A$25</c:f>
              <c:strCache>
                <c:ptCount val="19"/>
                <c:pt idx="0">
                  <c:v>Agricultura, ganadería, caza, silvicultura y pesca</c:v>
                </c:pt>
                <c:pt idx="1">
                  <c:v>Explotación de minas y canteras</c:v>
                </c:pt>
                <c:pt idx="2">
                  <c:v>Industria Manufacturera</c:v>
                </c:pt>
                <c:pt idx="3">
                  <c:v>Suministro de electricidad, gas y vapor y aire acond.</c:v>
                </c:pt>
                <c:pt idx="4">
                  <c:v>Destribución de agua, evacuación y tratamiento de aguas residuales…</c:v>
                </c:pt>
                <c:pt idx="5">
                  <c:v>Construcción</c:v>
                </c:pt>
                <c:pt idx="6">
                  <c:v>Comercio al por mayor y menor, reparación de vehículos…</c:v>
                </c:pt>
                <c:pt idx="7">
                  <c:v>Transporte y almacenamiento</c:v>
                </c:pt>
                <c:pt idx="8">
                  <c:v>Alojamiento y servicios de comidas</c:v>
                </c:pt>
                <c:pt idx="9">
                  <c:v>Información y comunicaciones</c:v>
                </c:pt>
                <c:pt idx="10">
                  <c:v>Actividades financieras y de seguros</c:v>
                </c:pt>
                <c:pt idx="11">
                  <c:v>Actividades inmobiliarias</c:v>
                </c:pt>
                <c:pt idx="12">
                  <c:v>Actividades profesionales, científicas y técnicas</c:v>
                </c:pt>
                <c:pt idx="13">
                  <c:v>Actividades de servicios administrativos y de apoyo</c:v>
                </c:pt>
                <c:pt idx="14">
                  <c:v>Administración pública y defensa, planes de seguridad social…</c:v>
                </c:pt>
                <c:pt idx="15">
                  <c:v>Educación</c:v>
                </c:pt>
                <c:pt idx="16">
                  <c:v>Actividades de atención de la salud humana y de asistencia social</c:v>
                </c:pt>
                <c:pt idx="17">
                  <c:v>Actividades artísticas, entretenimiento y recreación</c:v>
                </c:pt>
                <c:pt idx="18">
                  <c:v>Otras actividades de servicios</c:v>
                </c:pt>
              </c:strCache>
            </c:strRef>
          </c:cat>
          <c:val>
            <c:numRef>
              <c:f>Tejido!$I$7:$I$25</c:f>
              <c:numCache>
                <c:formatCode>_-* #,##0_-;\-* #,##0_-;_-* "-"??_-;_-@_-</c:formatCode>
                <c:ptCount val="19"/>
                <c:pt idx="0">
                  <c:v>464</c:v>
                </c:pt>
                <c:pt idx="1">
                  <c:v>191</c:v>
                </c:pt>
                <c:pt idx="2">
                  <c:v>1955</c:v>
                </c:pt>
                <c:pt idx="3">
                  <c:v>13</c:v>
                </c:pt>
                <c:pt idx="4">
                  <c:v>566</c:v>
                </c:pt>
                <c:pt idx="5">
                  <c:v>987</c:v>
                </c:pt>
                <c:pt idx="6">
                  <c:v>10714</c:v>
                </c:pt>
                <c:pt idx="7">
                  <c:v>863</c:v>
                </c:pt>
                <c:pt idx="8">
                  <c:v>3972</c:v>
                </c:pt>
                <c:pt idx="9">
                  <c:v>389</c:v>
                </c:pt>
                <c:pt idx="10">
                  <c:v>195</c:v>
                </c:pt>
                <c:pt idx="11">
                  <c:v>210</c:v>
                </c:pt>
                <c:pt idx="12">
                  <c:v>1009</c:v>
                </c:pt>
                <c:pt idx="13">
                  <c:v>587</c:v>
                </c:pt>
                <c:pt idx="14">
                  <c:v>20</c:v>
                </c:pt>
                <c:pt idx="15">
                  <c:v>152</c:v>
                </c:pt>
                <c:pt idx="16">
                  <c:v>322</c:v>
                </c:pt>
                <c:pt idx="17">
                  <c:v>434</c:v>
                </c:pt>
                <c:pt idx="18">
                  <c:v>1807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E25-4BD3-91BF-F94FE12C3C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605707055"/>
        <c:axId val="1605709455"/>
      </c:barChart>
      <c:catAx>
        <c:axId val="160570705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05709455"/>
        <c:crosses val="autoZero"/>
        <c:auto val="1"/>
        <c:lblAlgn val="ctr"/>
        <c:lblOffset val="100"/>
        <c:noMultiLvlLbl val="0"/>
      </c:catAx>
      <c:valAx>
        <c:axId val="1605709455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057070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6"/>
          <c:order val="0"/>
          <c:tx>
            <c:strRef>
              <c:f>Tejido!$Q$17</c:f>
              <c:strCache>
                <c:ptCount val="1"/>
                <c:pt idx="0">
                  <c:v>Renovaciones Cámara de Comercio de Duitama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61C-44BC-9EF6-202572084D10}"/>
              </c:ext>
            </c:extLst>
          </c:dPt>
          <c:dPt>
            <c:idx val="1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687F-4B32-8CC0-26C6871E37C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A-687F-4B32-8CC0-26C6871E37CF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687F-4B32-8CC0-26C6871E37CF}"/>
              </c:ext>
            </c:extLst>
          </c:dPt>
          <c:dLbls>
            <c:dLbl>
              <c:idx val="1"/>
              <c:layout>
                <c:manualLayout>
                  <c:x val="-0.13974382716049383"/>
                  <c:y val="7.677197957643510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87F-4B32-8CC0-26C6871E37CF}"/>
                </c:ext>
              </c:extLst>
            </c:dLbl>
            <c:dLbl>
              <c:idx val="2"/>
              <c:layout>
                <c:manualLayout>
                  <c:x val="7.1533713200379865E-4"/>
                  <c:y val="-2.382244744744744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87F-4B32-8CC0-26C6871E37CF}"/>
                </c:ext>
              </c:extLst>
            </c:dLbl>
            <c:dLbl>
              <c:idx val="3"/>
              <c:layout>
                <c:manualLayout>
                  <c:x val="0.11757027540360868"/>
                  <c:y val="-4.7457883704390405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87F-4B32-8CC0-26C6871E37CF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Tejido!$J$18:$J$21</c:f>
              <c:strCache>
                <c:ptCount val="4"/>
                <c:pt idx="0">
                  <c:v>Micro Empresa</c:v>
                </c:pt>
                <c:pt idx="1">
                  <c:v>Pequeña Empresa</c:v>
                </c:pt>
                <c:pt idx="2">
                  <c:v>Mediana Empresa</c:v>
                </c:pt>
                <c:pt idx="3">
                  <c:v>Gran Empresa</c:v>
                </c:pt>
              </c:strCache>
            </c:strRef>
          </c:cat>
          <c:val>
            <c:numRef>
              <c:f>Tejido!$Q$18:$Q$21</c:f>
              <c:numCache>
                <c:formatCode>_-* #,##0_-;\-* #,##0_-;_-* "-"??_-;_-@_-</c:formatCode>
                <c:ptCount val="4"/>
                <c:pt idx="0">
                  <c:v>15527</c:v>
                </c:pt>
                <c:pt idx="1">
                  <c:v>261</c:v>
                </c:pt>
                <c:pt idx="2">
                  <c:v>64</c:v>
                </c:pt>
                <c:pt idx="3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87F-4B32-8CC0-26C6871E37CF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6"/>
          <c:order val="0"/>
          <c:tx>
            <c:strRef>
              <c:f>Tejido!$R$17</c:f>
              <c:strCache>
                <c:ptCount val="1"/>
                <c:pt idx="0">
                  <c:v>Renovaciones Cámara de Comercio de Tunja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7C7-4E14-9E89-1C5453506164}"/>
              </c:ext>
            </c:extLst>
          </c:dPt>
          <c:dPt>
            <c:idx val="1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7C7-4E14-9E89-1C545350616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7C7-4E14-9E89-1C5453506164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27C7-4E14-9E89-1C5453506164}"/>
              </c:ext>
            </c:extLst>
          </c:dPt>
          <c:dLbls>
            <c:dLbl>
              <c:idx val="1"/>
              <c:layout>
                <c:manualLayout>
                  <c:x val="-0.135951685660019"/>
                  <c:y val="4.2757588994881551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C7-4E14-9E89-1C5453506164}"/>
                </c:ext>
              </c:extLst>
            </c:dLbl>
            <c:dLbl>
              <c:idx val="2"/>
              <c:layout>
                <c:manualLayout>
                  <c:x val="-2.7993827160493825E-3"/>
                  <c:y val="-2.789264264264266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C7-4E14-9E89-1C5453506164}"/>
                </c:ext>
              </c:extLst>
            </c:dLbl>
            <c:dLbl>
              <c:idx val="3"/>
              <c:layout>
                <c:manualLayout>
                  <c:x val="0.17093684710351378"/>
                  <c:y val="2.2331831831831832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C7-4E14-9E89-1C5453506164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Tejido!$J$18:$J$21</c:f>
              <c:strCache>
                <c:ptCount val="4"/>
                <c:pt idx="0">
                  <c:v>Micro Empresa</c:v>
                </c:pt>
                <c:pt idx="1">
                  <c:v>Pequeña Empresa</c:v>
                </c:pt>
                <c:pt idx="2">
                  <c:v>Mediana Empresa</c:v>
                </c:pt>
                <c:pt idx="3">
                  <c:v>Gran Empresa</c:v>
                </c:pt>
              </c:strCache>
            </c:strRef>
          </c:cat>
          <c:val>
            <c:numRef>
              <c:f>Tejido!$R$18:$R$21</c:f>
              <c:numCache>
                <c:formatCode>_-* #,##0_-;\-* #,##0_-;_-* "-"??_-;_-@_-</c:formatCode>
                <c:ptCount val="4"/>
                <c:pt idx="0">
                  <c:v>15527</c:v>
                </c:pt>
                <c:pt idx="1">
                  <c:v>261</c:v>
                </c:pt>
                <c:pt idx="2">
                  <c:v>64</c:v>
                </c:pt>
                <c:pt idx="3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7C7-4E14-9E89-1C5453506164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Producción agropecuaria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Económico!$F$16</c:f>
              <c:strCache>
                <c:ptCount val="1"/>
                <c:pt idx="0">
                  <c:v>Sogamoso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Económico!$G$15:$M$15</c:f>
              <c:strCache>
                <c:ptCount val="7"/>
                <c:pt idx="0">
                  <c:v> Agrícola (ton)_2023 </c:v>
                </c:pt>
                <c:pt idx="1">
                  <c:v> Bovino_2024 </c:v>
                </c:pt>
                <c:pt idx="2">
                  <c:v> Porcino_2021 </c:v>
                </c:pt>
                <c:pt idx="3">
                  <c:v> Equino_2021 </c:v>
                </c:pt>
                <c:pt idx="4">
                  <c:v> Caprino_2021 </c:v>
                </c:pt>
                <c:pt idx="5">
                  <c:v> Ovino_2021 </c:v>
                </c:pt>
                <c:pt idx="6">
                  <c:v> Aves_2022 </c:v>
                </c:pt>
              </c:strCache>
            </c:strRef>
          </c:cat>
          <c:val>
            <c:numRef>
              <c:f>Económico!$G$16:$M$16</c:f>
              <c:numCache>
                <c:formatCode>_-* #,##0_-;\-* #,##0_-;_-* "-"??_-;_-@_-</c:formatCode>
                <c:ptCount val="7"/>
                <c:pt idx="0">
                  <c:v>13198.889611633726</c:v>
                </c:pt>
                <c:pt idx="1">
                  <c:v>12543</c:v>
                </c:pt>
                <c:pt idx="2">
                  <c:v>913</c:v>
                </c:pt>
                <c:pt idx="3">
                  <c:v>520</c:v>
                </c:pt>
                <c:pt idx="4">
                  <c:v>590</c:v>
                </c:pt>
                <c:pt idx="5">
                  <c:v>2030</c:v>
                </c:pt>
                <c:pt idx="6">
                  <c:v>15250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A04-4C9B-BAC5-EBCAD2E383D1}"/>
            </c:ext>
          </c:extLst>
        </c:ser>
        <c:ser>
          <c:idx val="1"/>
          <c:order val="1"/>
          <c:tx>
            <c:strRef>
              <c:f>Económico!$F$17</c:f>
              <c:strCache>
                <c:ptCount val="1"/>
                <c:pt idx="0">
                  <c:v>Samacá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Económico!$G$15:$M$15</c:f>
              <c:strCache>
                <c:ptCount val="7"/>
                <c:pt idx="0">
                  <c:v> Agrícola (ton)_2023 </c:v>
                </c:pt>
                <c:pt idx="1">
                  <c:v> Bovino_2024 </c:v>
                </c:pt>
                <c:pt idx="2">
                  <c:v> Porcino_2021 </c:v>
                </c:pt>
                <c:pt idx="3">
                  <c:v> Equino_2021 </c:v>
                </c:pt>
                <c:pt idx="4">
                  <c:v> Caprino_2021 </c:v>
                </c:pt>
                <c:pt idx="5">
                  <c:v> Ovino_2021 </c:v>
                </c:pt>
                <c:pt idx="6">
                  <c:v> Aves_2022 </c:v>
                </c:pt>
              </c:strCache>
            </c:strRef>
          </c:cat>
          <c:val>
            <c:numRef>
              <c:f>Económico!$G$17:$M$17</c:f>
              <c:numCache>
                <c:formatCode>_-* #,##0_-;\-* #,##0_-;_-* "-"??_-;_-@_-</c:formatCode>
                <c:ptCount val="7"/>
                <c:pt idx="0">
                  <c:v>54666.724677017904</c:v>
                </c:pt>
                <c:pt idx="1">
                  <c:v>6778</c:v>
                </c:pt>
                <c:pt idx="2">
                  <c:v>531</c:v>
                </c:pt>
                <c:pt idx="3">
                  <c:v>604</c:v>
                </c:pt>
                <c:pt idx="4">
                  <c:v>36</c:v>
                </c:pt>
                <c:pt idx="5">
                  <c:v>267</c:v>
                </c:pt>
                <c:pt idx="6">
                  <c:v>350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A04-4C9B-BAC5-EBCAD2E383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824756927"/>
        <c:axId val="824757887"/>
      </c:barChart>
      <c:catAx>
        <c:axId val="8247569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24757887"/>
        <c:crosses val="autoZero"/>
        <c:auto val="1"/>
        <c:lblAlgn val="ctr"/>
        <c:lblOffset val="100"/>
        <c:noMultiLvlLbl val="0"/>
      </c:catAx>
      <c:valAx>
        <c:axId val="8247578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24756927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Colocaciones de crédito (millones)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Económico!$A$31</c:f>
              <c:strCache>
                <c:ptCount val="1"/>
                <c:pt idx="0">
                  <c:v>Sogamoso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Económico!$C$30:$E$30</c:f>
              <c:strCache>
                <c:ptCount val="3"/>
                <c:pt idx="0">
                  <c:v>Colocaciones</c:v>
                </c:pt>
                <c:pt idx="1">
                  <c:v>Finagro</c:v>
                </c:pt>
                <c:pt idx="2">
                  <c:v>Bancóldex</c:v>
                </c:pt>
              </c:strCache>
            </c:strRef>
          </c:cat>
          <c:val>
            <c:numRef>
              <c:f>Económico!$C$31:$E$31</c:f>
              <c:numCache>
                <c:formatCode>_-* #,##0_-;\-* #,##0_-;_-* "-"??_-;_-@_-</c:formatCode>
                <c:ptCount val="3"/>
                <c:pt idx="0">
                  <c:v>1082275.0297785301</c:v>
                </c:pt>
                <c:pt idx="1">
                  <c:v>35422.725754999999</c:v>
                </c:pt>
                <c:pt idx="2">
                  <c:v>3873.2671959999998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4F-4F5A-8238-D49EC39AB949}"/>
            </c:ext>
          </c:extLst>
        </c:ser>
        <c:ser>
          <c:idx val="1"/>
          <c:order val="1"/>
          <c:tx>
            <c:strRef>
              <c:f>Económico!$A$32</c:f>
              <c:strCache>
                <c:ptCount val="1"/>
                <c:pt idx="0">
                  <c:v>Samacá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Económico!$C$30:$E$30</c:f>
              <c:strCache>
                <c:ptCount val="3"/>
                <c:pt idx="0">
                  <c:v>Colocaciones</c:v>
                </c:pt>
                <c:pt idx="1">
                  <c:v>Finagro</c:v>
                </c:pt>
                <c:pt idx="2">
                  <c:v>Bancóldex</c:v>
                </c:pt>
              </c:strCache>
            </c:strRef>
          </c:cat>
          <c:val>
            <c:numRef>
              <c:f>Económico!$C$32:$E$32</c:f>
              <c:numCache>
                <c:formatCode>_-* #,##0_-;\-* #,##0_-;_-* "-"??_-;_-@_-</c:formatCode>
                <c:ptCount val="3"/>
                <c:pt idx="0">
                  <c:v>164586.94013042998</c:v>
                </c:pt>
                <c:pt idx="1">
                  <c:v>23088.591084</c:v>
                </c:pt>
                <c:pt idx="2">
                  <c:v>864.31530399999997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24F-4F5A-8238-D49EC39AB9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824839487"/>
        <c:axId val="824838047"/>
      </c:barChart>
      <c:catAx>
        <c:axId val="82483948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24838047"/>
        <c:crosses val="autoZero"/>
        <c:auto val="1"/>
        <c:lblAlgn val="ctr"/>
        <c:lblOffset val="100"/>
        <c:noMultiLvlLbl val="0"/>
      </c:catAx>
      <c:valAx>
        <c:axId val="824838047"/>
        <c:scaling>
          <c:orientation val="minMax"/>
        </c:scaling>
        <c:delete val="0"/>
        <c:axPos val="b"/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248394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kumimoji="0" lang="es-CO" sz="1400" b="0" i="0" u="none" strike="noStrike" kern="1200" cap="none" spc="0" normalizeH="0" baseline="0" noProof="0">
                <a:ln>
                  <a:noFill/>
                </a:ln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uLnTx/>
                <a:uFillTx/>
                <a:latin typeface="Calibri" panose="020F0502020204030204"/>
              </a:rPr>
              <a:t>Índice municipal de competitividad 2023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Económico!$H$34</c:f>
              <c:strCache>
                <c:ptCount val="1"/>
                <c:pt idx="0">
                  <c:v>Sogamoso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Económico!$G$35:$G$42</c:f>
              <c:strCache>
                <c:ptCount val="8"/>
                <c:pt idx="0">
                  <c:v>IMC</c:v>
                </c:pt>
                <c:pt idx="1">
                  <c:v>Instituciones</c:v>
                </c:pt>
                <c:pt idx="2">
                  <c:v>Infraestructura y equipamiento</c:v>
                </c:pt>
                <c:pt idx="3">
                  <c:v>Sostenibilidad ambiental</c:v>
                </c:pt>
                <c:pt idx="4">
                  <c:v>Educación media y básica</c:v>
                </c:pt>
                <c:pt idx="5">
                  <c:v>Salud</c:v>
                </c:pt>
                <c:pt idx="6">
                  <c:v>Sistema financiero</c:v>
                </c:pt>
                <c:pt idx="7">
                  <c:v>Productividad y dinámica empresarial</c:v>
                </c:pt>
              </c:strCache>
            </c:strRef>
          </c:cat>
          <c:val>
            <c:numRef>
              <c:f>Económico!$H$35:$H$42</c:f>
              <c:numCache>
                <c:formatCode>_-* #,##0_-;\-* #,##0_-;_-* "-"??_-;_-@_-</c:formatCode>
                <c:ptCount val="8"/>
                <c:pt idx="0">
                  <c:v>5</c:v>
                </c:pt>
                <c:pt idx="1">
                  <c:v>17</c:v>
                </c:pt>
                <c:pt idx="2">
                  <c:v>7</c:v>
                </c:pt>
                <c:pt idx="3">
                  <c:v>30</c:v>
                </c:pt>
                <c:pt idx="4">
                  <c:v>3</c:v>
                </c:pt>
                <c:pt idx="5">
                  <c:v>28</c:v>
                </c:pt>
                <c:pt idx="6">
                  <c:v>8</c:v>
                </c:pt>
                <c:pt idx="7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011-4D06-84B4-90DEA1A97325}"/>
            </c:ext>
          </c:extLst>
        </c:ser>
        <c:ser>
          <c:idx val="1"/>
          <c:order val="1"/>
          <c:tx>
            <c:strRef>
              <c:f>Económico!$I$34</c:f>
              <c:strCache>
                <c:ptCount val="1"/>
                <c:pt idx="0">
                  <c:v>Samacá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Económico!$G$35:$G$42</c:f>
              <c:strCache>
                <c:ptCount val="8"/>
                <c:pt idx="0">
                  <c:v>IMC</c:v>
                </c:pt>
                <c:pt idx="1">
                  <c:v>Instituciones</c:v>
                </c:pt>
                <c:pt idx="2">
                  <c:v>Infraestructura y equipamiento</c:v>
                </c:pt>
                <c:pt idx="3">
                  <c:v>Sostenibilidad ambiental</c:v>
                </c:pt>
                <c:pt idx="4">
                  <c:v>Educación media y básica</c:v>
                </c:pt>
                <c:pt idx="5">
                  <c:v>Salud</c:v>
                </c:pt>
                <c:pt idx="6">
                  <c:v>Sistema financiero</c:v>
                </c:pt>
                <c:pt idx="7">
                  <c:v>Productividad y dinámica empresarial</c:v>
                </c:pt>
              </c:strCache>
            </c:strRef>
          </c:cat>
          <c:val>
            <c:numRef>
              <c:f>Económico!$I$35:$I$42</c:f>
              <c:numCache>
                <c:formatCode>_-* #,##0_-;\-* #,##0_-;_-* "-"??_-;_-@_-</c:formatCode>
                <c:ptCount val="8"/>
                <c:pt idx="0">
                  <c:v>15</c:v>
                </c:pt>
                <c:pt idx="1">
                  <c:v>8</c:v>
                </c:pt>
                <c:pt idx="2">
                  <c:v>65</c:v>
                </c:pt>
                <c:pt idx="3">
                  <c:v>43</c:v>
                </c:pt>
                <c:pt idx="4">
                  <c:v>15</c:v>
                </c:pt>
                <c:pt idx="5">
                  <c:v>18</c:v>
                </c:pt>
                <c:pt idx="6">
                  <c:v>14</c:v>
                </c:pt>
                <c:pt idx="7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011-4D06-84B4-90DEA1A973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9035359"/>
        <c:axId val="719037759"/>
      </c:lineChart>
      <c:catAx>
        <c:axId val="719035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19037759"/>
        <c:crosses val="autoZero"/>
        <c:auto val="1"/>
        <c:lblAlgn val="ctr"/>
        <c:lblOffset val="100"/>
        <c:noMultiLvlLbl val="0"/>
      </c:catAx>
      <c:valAx>
        <c:axId val="719037759"/>
        <c:scaling>
          <c:orientation val="minMax"/>
        </c:scaling>
        <c:delete val="0"/>
        <c:axPos val="l"/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19035359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zero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Social!$B$5</c:f>
              <c:strCache>
                <c:ptCount val="1"/>
                <c:pt idx="0">
                  <c:v>Samacá</c:v>
                </c:pt>
              </c:strCache>
            </c:strRef>
          </c:tx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67F-4F4B-B5C0-6DCCDF63951F}"/>
              </c:ext>
            </c:extLst>
          </c:dPt>
          <c:dPt>
            <c:idx val="1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267F-4F4B-B5C0-6DCCDF63951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Social!$A$6:$A$7</c:f>
              <c:strCache>
                <c:ptCount val="2"/>
                <c:pt idx="0">
                  <c:v>Hombres</c:v>
                </c:pt>
                <c:pt idx="1">
                  <c:v>Mujeres</c:v>
                </c:pt>
              </c:strCache>
            </c:strRef>
          </c:cat>
          <c:val>
            <c:numRef>
              <c:f>Social!$B$6:$B$7</c:f>
              <c:numCache>
                <c:formatCode>_-* #,##0_-;\-* #,##0_-;_-* "-"??_-;_-@_-</c:formatCode>
                <c:ptCount val="2"/>
                <c:pt idx="0">
                  <c:v>9982</c:v>
                </c:pt>
                <c:pt idx="1">
                  <c:v>9868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7F-4F4B-B5C0-6DCCDF63951F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Social!$C$5</c:f>
              <c:strCache>
                <c:ptCount val="1"/>
                <c:pt idx="0">
                  <c:v>Tópaga</c:v>
                </c:pt>
              </c:strCache>
            </c:strRef>
          </c:tx>
          <c:dPt>
            <c:idx val="0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64D9-444B-BD3E-786AA615CBF6}"/>
              </c:ext>
            </c:extLst>
          </c:dPt>
          <c:dPt>
            <c:idx val="1"/>
            <c:bubble3D val="0"/>
            <c:spPr>
              <a:solidFill>
                <a:srgbClr val="92D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64D9-444B-BD3E-786AA615CBF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Social!$A$6:$A$7</c:f>
              <c:strCache>
                <c:ptCount val="2"/>
                <c:pt idx="0">
                  <c:v>Hombres</c:v>
                </c:pt>
                <c:pt idx="1">
                  <c:v>Mujeres</c:v>
                </c:pt>
              </c:strCache>
            </c:strRef>
          </c:cat>
          <c:val>
            <c:numRef>
              <c:f>Social!$C$6:$C$7</c:f>
              <c:numCache>
                <c:formatCode>_-* #,##0_-;\-* #,##0_-;_-* "-"??_-;_-@_-</c:formatCode>
                <c:ptCount val="2"/>
                <c:pt idx="0">
                  <c:v>1870</c:v>
                </c:pt>
                <c:pt idx="1">
                  <c:v>2007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4D9-444B-BD3E-786AA615CBF6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Distribución etárea de la población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Social!$G$9</c:f>
              <c:strCache>
                <c:ptCount val="1"/>
                <c:pt idx="0">
                  <c:v>Samacá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Social!$H$5:$M$5</c:f>
              <c:strCache>
                <c:ptCount val="6"/>
                <c:pt idx="0">
                  <c:v>0-6</c:v>
                </c:pt>
                <c:pt idx="1">
                  <c:v> 7-14 </c:v>
                </c:pt>
                <c:pt idx="2">
                  <c:v> 15-17 </c:v>
                </c:pt>
                <c:pt idx="3">
                  <c:v>18-26</c:v>
                </c:pt>
                <c:pt idx="4">
                  <c:v> 27-59 </c:v>
                </c:pt>
                <c:pt idx="5">
                  <c:v> 60 o mas </c:v>
                </c:pt>
              </c:strCache>
            </c:strRef>
          </c:cat>
          <c:val>
            <c:numRef>
              <c:f>Social!$H$9:$M$9</c:f>
              <c:numCache>
                <c:formatCode>0%;0%</c:formatCode>
                <c:ptCount val="6"/>
                <c:pt idx="0">
                  <c:v>-0.12322418136020151</c:v>
                </c:pt>
                <c:pt idx="1">
                  <c:v>-0.13717884130982369</c:v>
                </c:pt>
                <c:pt idx="2">
                  <c:v>-4.9672544080604536E-2</c:v>
                </c:pt>
                <c:pt idx="3">
                  <c:v>-0.14982367758186399</c:v>
                </c:pt>
                <c:pt idx="4">
                  <c:v>-0.41964735516372798</c:v>
                </c:pt>
                <c:pt idx="5">
                  <c:v>-0.12045340050377834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BF-4527-8163-E4B7C1219243}"/>
            </c:ext>
          </c:extLst>
        </c:ser>
        <c:ser>
          <c:idx val="1"/>
          <c:order val="1"/>
          <c:tx>
            <c:strRef>
              <c:f>Social!$G$10</c:f>
              <c:strCache>
                <c:ptCount val="1"/>
                <c:pt idx="0">
                  <c:v>Tópaga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Social!$H$5:$M$5</c:f>
              <c:strCache>
                <c:ptCount val="6"/>
                <c:pt idx="0">
                  <c:v>0-6</c:v>
                </c:pt>
                <c:pt idx="1">
                  <c:v> 7-14 </c:v>
                </c:pt>
                <c:pt idx="2">
                  <c:v> 15-17 </c:v>
                </c:pt>
                <c:pt idx="3">
                  <c:v>18-26</c:v>
                </c:pt>
                <c:pt idx="4">
                  <c:v> 27-59 </c:v>
                </c:pt>
                <c:pt idx="5">
                  <c:v> 60 o mas </c:v>
                </c:pt>
              </c:strCache>
            </c:strRef>
          </c:cat>
          <c:val>
            <c:numRef>
              <c:f>Social!$H$10:$M$10</c:f>
              <c:numCache>
                <c:formatCode>0%</c:formatCode>
                <c:ptCount val="6"/>
                <c:pt idx="0">
                  <c:v>0.11116842919783337</c:v>
                </c:pt>
                <c:pt idx="1">
                  <c:v>0.1263863812225948</c:v>
                </c:pt>
                <c:pt idx="2">
                  <c:v>4.8491101367036368E-2</c:v>
                </c:pt>
                <c:pt idx="3">
                  <c:v>0.14031467629610522</c:v>
                </c:pt>
                <c:pt idx="4">
                  <c:v>0.39747227237554811</c:v>
                </c:pt>
                <c:pt idx="5">
                  <c:v>0.17616713954088212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BF-4527-8163-E4B7C12192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overlap val="100"/>
        <c:axId val="355532328"/>
        <c:axId val="355529584"/>
      </c:barChart>
      <c:catAx>
        <c:axId val="35553232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55529584"/>
        <c:crosses val="autoZero"/>
        <c:auto val="1"/>
        <c:lblAlgn val="ctr"/>
        <c:lblOffset val="100"/>
        <c:noMultiLvlLbl val="0"/>
      </c:catAx>
      <c:valAx>
        <c:axId val="355529584"/>
        <c:scaling>
          <c:orientation val="minMax"/>
          <c:min val="-0.45"/>
        </c:scaling>
        <c:delete val="0"/>
        <c:axPos val="b"/>
        <c:numFmt formatCode="0%;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55532328"/>
        <c:crossesAt val="1"/>
        <c:crossBetween val="between"/>
        <c:majorUnit val="0.1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4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</a:rPr>
              <a:t>Empleo reportado a Comfaboy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Social!$G$20</c:f>
              <c:strCache>
                <c:ptCount val="1"/>
                <c:pt idx="0">
                  <c:v>No. Empresas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Social!$F$21:$F$22</c:f>
              <c:strCache>
                <c:ptCount val="2"/>
                <c:pt idx="0">
                  <c:v>Samacá</c:v>
                </c:pt>
                <c:pt idx="1">
                  <c:v>Tópaga</c:v>
                </c:pt>
              </c:strCache>
            </c:strRef>
          </c:cat>
          <c:val>
            <c:numRef>
              <c:f>Social!$G$21:$G$22</c:f>
              <c:numCache>
                <c:formatCode>_-* #,##0_-;\-* #,##0_-;_-* "-"??_-;_-@_-</c:formatCode>
                <c:ptCount val="2"/>
                <c:pt idx="0">
                  <c:v>388</c:v>
                </c:pt>
                <c:pt idx="1">
                  <c:v>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5B-44CD-A1A0-1F44127FAE18}"/>
            </c:ext>
          </c:extLst>
        </c:ser>
        <c:ser>
          <c:idx val="1"/>
          <c:order val="1"/>
          <c:tx>
            <c:strRef>
              <c:f>Social!$H$20</c:f>
              <c:strCache>
                <c:ptCount val="1"/>
                <c:pt idx="0">
                  <c:v>No. Empleos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Social!$F$21:$F$22</c:f>
              <c:strCache>
                <c:ptCount val="2"/>
                <c:pt idx="0">
                  <c:v>Samacá</c:v>
                </c:pt>
                <c:pt idx="1">
                  <c:v>Tópaga</c:v>
                </c:pt>
              </c:strCache>
            </c:strRef>
          </c:cat>
          <c:val>
            <c:numRef>
              <c:f>Social!$H$21:$H$22</c:f>
              <c:numCache>
                <c:formatCode>_-* #,##0_-;\-* #,##0_-;_-* "-"??_-;_-@_-</c:formatCode>
                <c:ptCount val="2"/>
                <c:pt idx="0">
                  <c:v>5477</c:v>
                </c:pt>
                <c:pt idx="1">
                  <c:v>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95B-44CD-A1A0-1F44127FAE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421813280"/>
        <c:axId val="421787840"/>
      </c:barChart>
      <c:catAx>
        <c:axId val="421813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21787840"/>
        <c:crosses val="autoZero"/>
        <c:auto val="1"/>
        <c:lblAlgn val="ctr"/>
        <c:lblOffset val="100"/>
        <c:noMultiLvlLbl val="0"/>
      </c:catAx>
      <c:valAx>
        <c:axId val="421787840"/>
        <c:scaling>
          <c:orientation val="minMax"/>
        </c:scaling>
        <c:delete val="0"/>
        <c:axPos val="l"/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21813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_xlchart.v1.8</cx:f>
      </cx:strDim>
      <cx:numDim type="size">
        <cx:f>_xlchart.v1.10</cx:f>
      </cx:numDim>
    </cx:data>
  </cx:chartData>
  <cx:chart>
    <cx:plotArea>
      <cx:plotAreaRegion>
        <cx:series layoutId="treemap" uniqueId="{E21F4B4C-AB84-4344-AA17-9B8616485F4A}">
          <cx:tx>
            <cx:txData>
              <cx:f>_xlchart.v1.9</cx:f>
              <cx:v>Sogamoso</cx:v>
            </cx:txData>
          </cx:tx>
          <cx:dataLabels>
            <cx:txPr>
              <a:bodyPr vertOverflow="overflow" horzOverflow="overflow" wrap="square" lIns="0" tIns="0" rIns="0" bIns="0"/>
              <a:lstStyle/>
              <a:p>
                <a:pPr algn="ctr" rtl="0">
                  <a:defRPr sz="800" b="0" i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s-CO" sz="800">
                  <a:solidFill>
                    <a:sysClr val="windowText" lastClr="000000"/>
                  </a:solidFill>
                </a:endParaRPr>
              </a:p>
            </cx:txPr>
            <cx:visibility seriesName="0" categoryName="1" value="1"/>
            <cx:separator>, </cx:separator>
          </cx:dataLabels>
          <cx:dataId val="0"/>
          <cx:layoutPr/>
        </cx:series>
      </cx:plotAreaRegion>
    </cx:plotArea>
  </cx:chart>
  <cx:spPr>
    <a:ln>
      <a:noFill/>
    </a:ln>
  </cx:spPr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size">
        <cx:f>_xlchart.v1.2</cx:f>
      </cx:numDim>
    </cx:data>
  </cx:chartData>
  <cx:chart>
    <cx:plotArea>
      <cx:plotAreaRegion>
        <cx:series layoutId="treemap" uniqueId="{8ED80960-559C-4CA9-A70B-A6969595E724}">
          <cx:tx>
            <cx:txData>
              <cx:f>_xlchart.v1.1</cx:f>
              <cx:v>Samacá</cx:v>
            </cx:txData>
          </cx:tx>
          <cx:dataLabels>
            <cx:txPr>
              <a:bodyPr vertOverflow="overflow" horzOverflow="overflow" wrap="square" lIns="0" tIns="0" rIns="0" bIns="0"/>
              <a:lstStyle/>
              <a:p>
                <a:pPr algn="ctr" rtl="0">
                  <a:defRPr sz="800" b="0" i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s-CO" sz="800">
                  <a:solidFill>
                    <a:sysClr val="windowText" lastClr="000000"/>
                  </a:solidFill>
                </a:endParaRPr>
              </a:p>
            </cx:txPr>
            <cx:visibility seriesName="0" categoryName="1" value="1"/>
            <cx:separator>, </cx:separator>
          </cx:dataLabels>
          <cx:dataId val="0"/>
          <cx:layoutPr/>
        </cx:series>
      </cx:plotAreaRegion>
    </cx:plotArea>
  </cx:chart>
  <cx:spPr>
    <a:ln>
      <a:noFill/>
    </a:ln>
  </cx:spPr>
</cx:chartSpace>
</file>

<file path=xl/charts/chartEx3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_xlchart.v2.5</cx:f>
      </cx:strDim>
      <cx:numDim type="val">
        <cx:f>_xlchart.v2.7</cx:f>
      </cx:numDim>
    </cx:data>
  </cx:chartData>
  <cx:chart>
    <cx:title pos="t" align="ctr" overlay="0">
      <cx:tx>
        <cx:txData>
          <cx:v>Captaciones de recursos del sistema financiero (millones)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s-E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Captaciones de recursos del sistema financiero (millones)</a:t>
          </a:r>
        </a:p>
      </cx:txPr>
    </cx:title>
    <cx:plotArea>
      <cx:plotAreaRegion>
        <cx:series layoutId="funnel" uniqueId="{BC48C55F-663F-4AEB-A2DE-AB9971786FD2}">
          <cx:tx>
            <cx:txData>
              <cx:f>_xlchart.v2.6</cx:f>
              <cx:v>Captaciones</cx:v>
            </cx:txData>
          </cx:tx>
          <cx:dataLabels>
            <cx:visibility seriesName="0" categoryName="0" value="1"/>
          </cx:dataLabels>
          <cx:dataId val="0"/>
        </cx:series>
      </cx:plotAreaRegion>
      <cx:axis id="0">
        <cx:catScaling gapWidth="0.0599999987"/>
        <cx:tickLabels/>
      </cx:axis>
    </cx:plotArea>
  </cx:chart>
  <cx:spPr>
    <a:ln>
      <a:noFill/>
    </a:ln>
  </cx:spPr>
</cx:chartSpace>
</file>

<file path=xl/charts/chartEx4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_xlchart.v1.3</cx:f>
      </cx:strDim>
      <cx:numDim type="size">
        <cx:f>_xlchart.v1.4</cx:f>
      </cx:numDim>
    </cx:data>
  </cx:chartData>
  <cx:chart>
    <cx:title pos="t" align="ctr" overlay="0">
      <cx:tx>
        <cx:txData>
          <cx:v>Valor agregado departamental distribuido por municipios (miles de millones)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s-E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Valor agregado departamental distribuido por municipios (miles de millones)</a:t>
          </a:r>
        </a:p>
      </cx:txPr>
    </cx:title>
    <cx:plotArea>
      <cx:plotAreaRegion>
        <cx:series layoutId="treemap" uniqueId="{68E0663D-486B-4733-8591-2752E9574F66}">
          <cx:tx>
            <cx:txData>
              <cx:f/>
              <cx:v>Valor Agregado</cx:v>
            </cx:txData>
          </cx:tx>
          <cx:dataLabels pos="inEnd">
            <cx:visibility seriesName="0" categoryName="1" value="1"/>
            <cx:separator>, </cx:separator>
          </cx:dataLabels>
          <cx:dataId val="0"/>
          <cx:layoutPr>
            <cx:parentLabelLayout val="banner"/>
          </cx:layoutPr>
        </cx:series>
      </cx:plotAreaRegion>
    </cx:plotArea>
  </cx:chart>
  <cx:spPr>
    <a:ln>
      <a:noFill/>
    </a:ln>
  </cx:spPr>
</cx:chartSpace>
</file>

<file path=xl/charts/chartEx5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_xlchart.v1.14</cx:f>
      </cx:strDim>
      <cx:numDim type="size">
        <cx:f>_xlchart.v1.16</cx:f>
      </cx:numDim>
    </cx:data>
    <cx:data id="1">
      <cx:strDim type="cat">
        <cx:f>_xlchart.v1.14</cx:f>
      </cx:strDim>
      <cx:numDim type="size">
        <cx:f>_xlchart.v1.18</cx:f>
      </cx:numDim>
    </cx:data>
  </cx:chartData>
  <cx:chart>
    <cx:plotArea>
      <cx:plotAreaRegion>
        <cx:series layoutId="treemap" uniqueId="{09B20D40-109D-40F0-945B-2B9236AB4203}" formatIdx="6">
          <cx:tx>
            <cx:txData>
              <cx:f>_xlchart.v1.15</cx:f>
              <cx:v>Renovaciones Cámara de Comercio de Duitama</cx:v>
            </cx:txData>
          </cx:tx>
          <cx:dataLabels pos="inEnd">
            <cx:txPr>
              <a:bodyPr spcFirstLastPara="1" vertOverflow="ellipsis" horzOverflow="overflow" wrap="square" lIns="0" tIns="0" rIns="0" bIns="0" anchor="ctr" anchorCtr="1"/>
              <a:lstStyle/>
              <a:p>
                <a:pPr algn="ctr" rtl="0">
                  <a:defRPr sz="700"/>
                </a:pPr>
                <a:endParaRPr lang="es-ES" sz="700" b="0" i="0" u="none" strike="noStrike" baseline="0">
                  <a:solidFill>
                    <a:sysClr val="window" lastClr="FFFFFF"/>
                  </a:solidFill>
                  <a:latin typeface="Calibri" panose="020F0502020204030204"/>
                </a:endParaRPr>
              </a:p>
            </cx:txPr>
            <cx:visibility seriesName="0" categoryName="1" value="1"/>
            <cx:separator>, </cx:separator>
          </cx:dataLabels>
          <cx:dataId val="0"/>
          <cx:layoutPr>
            <cx:parentLabelLayout val="banner"/>
          </cx:layoutPr>
        </cx:series>
        <cx:series layoutId="treemap" hidden="1" uniqueId="{03B2DFCA-59C3-48C2-971C-E3C22C252847}" formatIdx="7">
          <cx:tx>
            <cx:txData>
              <cx:f>_xlchart.v1.17</cx:f>
              <cx:v>Renovaciones Cámara de Comercio de Tunja</cx:v>
            </cx:txData>
          </cx:tx>
          <cx:dataLabels pos="inEnd">
            <cx:visibility seriesName="0" categoryName="1" value="0"/>
          </cx:dataLabels>
          <cx:dataId val="1"/>
          <cx:layoutPr>
            <cx:parentLabelLayout val="banner"/>
          </cx:layoutPr>
        </cx:series>
      </cx:plotAreaRegion>
    </cx:plotArea>
  </cx:chart>
  <cx:spPr>
    <a:ln>
      <a:noFill/>
    </a:ln>
  </cx:spPr>
</cx:chartSpace>
</file>

<file path=xl/charts/chartEx6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_xlchart.v1.11</cx:f>
      </cx:strDim>
      <cx:numDim type="size">
        <cx:f>_xlchart.v1.13</cx:f>
      </cx:numDim>
    </cx:data>
  </cx:chartData>
  <cx:chart>
    <cx:plotArea>
      <cx:plotAreaRegion>
        <cx:series layoutId="treemap" uniqueId="{03B2DFCA-59C3-48C2-971C-E3C22C252847}" formatIdx="7">
          <cx:tx>
            <cx:txData>
              <cx:f>_xlchart.v1.12</cx:f>
              <cx:v>Renovaciones Cámara de Comercio de Tunja</cx:v>
            </cx:txData>
          </cx:tx>
          <cx:dataLabels pos="inEnd">
            <cx:txPr>
              <a:bodyPr spcFirstLastPara="1" vertOverflow="ellipsis" horzOverflow="overflow" wrap="square" lIns="0" tIns="0" rIns="0" bIns="0" anchor="ctr" anchorCtr="1"/>
              <a:lstStyle/>
              <a:p>
                <a:pPr algn="ctr" rtl="0">
                  <a:defRPr sz="700"/>
                </a:pPr>
                <a:endParaRPr lang="es-ES" sz="700" b="0" i="0" u="none" strike="noStrike" baseline="0">
                  <a:solidFill>
                    <a:sysClr val="window" lastClr="FFFFFF"/>
                  </a:solidFill>
                  <a:latin typeface="Calibri" panose="020F0502020204030204"/>
                </a:endParaRPr>
              </a:p>
            </cx:txPr>
            <cx:visibility seriesName="0" categoryName="1" value="1"/>
            <cx:separator>, </cx:separator>
          </cx:dataLabels>
          <cx:dataId val="0"/>
          <cx:layoutPr>
            <cx:parentLabelLayout val="banner"/>
          </cx:layoutPr>
        </cx:series>
      </cx:plotAreaRegion>
    </cx:plotArea>
  </cx:chart>
  <cx:spPr>
    <a:ln>
      <a:noFill/>
    </a:ln>
  </cx:spPr>
</cx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7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41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30.xml><?xml version="1.0" encoding="utf-8"?>
<cs:chartStyle xmlns:cs="http://schemas.microsoft.com/office/drawing/2012/chartStyle" xmlns:a="http://schemas.openxmlformats.org/drawingml/2006/main" id="410">
  <cs:axisTitle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bg1">
          <a:lumMod val="65000"/>
        </a:schemeClr>
      </a:solidFill>
      <a:ln w="19050">
        <a:solidFill>
          <a:schemeClr val="bg1"/>
        </a:solidFill>
      </a:ln>
    </cs:spPr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31.xml><?xml version="1.0" encoding="utf-8"?>
<cs:chartStyle xmlns:cs="http://schemas.microsoft.com/office/drawing/2012/chartStyle" xmlns:a="http://schemas.openxmlformats.org/drawingml/2006/main" id="410">
  <cs:axisTitle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bg1">
          <a:lumMod val="65000"/>
        </a:schemeClr>
      </a:solidFill>
      <a:ln w="19050">
        <a:solidFill>
          <a:schemeClr val="bg1"/>
        </a:solidFill>
      </a:ln>
    </cs:spPr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3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41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41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41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410">
  <cs:axisTitle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bg1">
          <a:lumMod val="65000"/>
        </a:schemeClr>
      </a:solidFill>
      <a:ln w="19050">
        <a:solidFill>
          <a:schemeClr val="bg1"/>
        </a:solidFill>
      </a:ln>
    </cs:spPr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png"/><Relationship Id="rId3" Type="http://schemas.openxmlformats.org/officeDocument/2006/relationships/hyperlink" Target="#Ambiental!A1"/><Relationship Id="rId7" Type="http://schemas.openxmlformats.org/officeDocument/2006/relationships/image" Target="../media/image2.png"/><Relationship Id="rId2" Type="http://schemas.openxmlformats.org/officeDocument/2006/relationships/hyperlink" Target="#Social!A1"/><Relationship Id="rId1" Type="http://schemas.openxmlformats.org/officeDocument/2006/relationships/image" Target="../media/image1.jpg"/><Relationship Id="rId6" Type="http://schemas.openxmlformats.org/officeDocument/2006/relationships/hyperlink" Target="#Tejido!A1"/><Relationship Id="rId5" Type="http://schemas.openxmlformats.org/officeDocument/2006/relationships/hyperlink" Target="#Boyac&#225;!A1"/><Relationship Id="rId10" Type="http://schemas.openxmlformats.org/officeDocument/2006/relationships/image" Target="../media/image5.png"/><Relationship Id="rId4" Type="http://schemas.openxmlformats.org/officeDocument/2006/relationships/hyperlink" Target="#Econ&#243;mico!A1"/><Relationship Id="rId9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.xml"/><Relationship Id="rId3" Type="http://schemas.microsoft.com/office/2014/relationships/chartEx" Target="../charts/chartEx1.xml"/><Relationship Id="rId7" Type="http://schemas.openxmlformats.org/officeDocument/2006/relationships/chart" Target="../charts/chart4.xml"/><Relationship Id="rId12" Type="http://schemas.microsoft.com/office/2014/relationships/chartEx" Target="../charts/chartEx4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microsoft.com/office/2014/relationships/chartEx" Target="../charts/chartEx3.xml"/><Relationship Id="rId11" Type="http://schemas.openxmlformats.org/officeDocument/2006/relationships/hyperlink" Target="#Ambiental!A1"/><Relationship Id="rId5" Type="http://schemas.openxmlformats.org/officeDocument/2006/relationships/chart" Target="../charts/chart3.xml"/><Relationship Id="rId10" Type="http://schemas.openxmlformats.org/officeDocument/2006/relationships/hyperlink" Target="#Social!A1"/><Relationship Id="rId4" Type="http://schemas.microsoft.com/office/2014/relationships/chartEx" Target="../charts/chartEx2.xml"/><Relationship Id="rId9" Type="http://schemas.openxmlformats.org/officeDocument/2006/relationships/hyperlink" Target="#Inicio!A1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0.xml"/><Relationship Id="rId3" Type="http://schemas.openxmlformats.org/officeDocument/2006/relationships/hyperlink" Target="#Ambiental!A1"/><Relationship Id="rId7" Type="http://schemas.openxmlformats.org/officeDocument/2006/relationships/chart" Target="../charts/chart9.xml"/><Relationship Id="rId2" Type="http://schemas.openxmlformats.org/officeDocument/2006/relationships/hyperlink" Target="#Econ&#243;mico!A1"/><Relationship Id="rId1" Type="http://schemas.openxmlformats.org/officeDocument/2006/relationships/hyperlink" Target="#Inicio!A1"/><Relationship Id="rId6" Type="http://schemas.openxmlformats.org/officeDocument/2006/relationships/chart" Target="../charts/chart8.xml"/><Relationship Id="rId5" Type="http://schemas.openxmlformats.org/officeDocument/2006/relationships/chart" Target="../charts/chart7.xml"/><Relationship Id="rId10" Type="http://schemas.openxmlformats.org/officeDocument/2006/relationships/chart" Target="../charts/chart12.xml"/><Relationship Id="rId4" Type="http://schemas.openxmlformats.org/officeDocument/2006/relationships/chart" Target="../charts/chart6.xml"/><Relationship Id="rId9" Type="http://schemas.openxmlformats.org/officeDocument/2006/relationships/chart" Target="../charts/chart11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4.xml"/><Relationship Id="rId2" Type="http://schemas.openxmlformats.org/officeDocument/2006/relationships/chart" Target="../charts/chart13.xml"/><Relationship Id="rId1" Type="http://schemas.openxmlformats.org/officeDocument/2006/relationships/hyperlink" Target="#Inicio!A1"/><Relationship Id="rId5" Type="http://schemas.openxmlformats.org/officeDocument/2006/relationships/hyperlink" Target="#Social!A1"/><Relationship Id="rId4" Type="http://schemas.openxmlformats.org/officeDocument/2006/relationships/hyperlink" Target="#Econ&#243;mico!A1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1.xml"/><Relationship Id="rId3" Type="http://schemas.openxmlformats.org/officeDocument/2006/relationships/chart" Target="../charts/chart16.xml"/><Relationship Id="rId7" Type="http://schemas.openxmlformats.org/officeDocument/2006/relationships/chart" Target="../charts/chart20.xml"/><Relationship Id="rId12" Type="http://schemas.openxmlformats.org/officeDocument/2006/relationships/chart" Target="../charts/chart25.xml"/><Relationship Id="rId2" Type="http://schemas.openxmlformats.org/officeDocument/2006/relationships/chart" Target="../charts/chart15.xml"/><Relationship Id="rId1" Type="http://schemas.openxmlformats.org/officeDocument/2006/relationships/hyperlink" Target="#Inicio!A1"/><Relationship Id="rId6" Type="http://schemas.openxmlformats.org/officeDocument/2006/relationships/chart" Target="../charts/chart19.xml"/><Relationship Id="rId11" Type="http://schemas.openxmlformats.org/officeDocument/2006/relationships/chart" Target="../charts/chart24.xml"/><Relationship Id="rId5" Type="http://schemas.openxmlformats.org/officeDocument/2006/relationships/chart" Target="../charts/chart18.xml"/><Relationship Id="rId10" Type="http://schemas.openxmlformats.org/officeDocument/2006/relationships/chart" Target="../charts/chart23.xml"/><Relationship Id="rId4" Type="http://schemas.openxmlformats.org/officeDocument/2006/relationships/chart" Target="../charts/chart17.xml"/><Relationship Id="rId9" Type="http://schemas.openxmlformats.org/officeDocument/2006/relationships/chart" Target="../charts/chart22.xml"/></Relationships>
</file>

<file path=xl/drawings/_rels/drawing6.xml.rels><?xml version="1.0" encoding="UTF-8" standalone="yes"?>
<Relationships xmlns="http://schemas.openxmlformats.org/package/2006/relationships"><Relationship Id="rId3" Type="http://schemas.microsoft.com/office/2014/relationships/chartEx" Target="../charts/chartEx5.xml"/><Relationship Id="rId2" Type="http://schemas.openxmlformats.org/officeDocument/2006/relationships/hyperlink" Target="#Inicio!A1"/><Relationship Id="rId1" Type="http://schemas.openxmlformats.org/officeDocument/2006/relationships/chart" Target="../charts/chart26.xml"/><Relationship Id="rId6" Type="http://schemas.openxmlformats.org/officeDocument/2006/relationships/chart" Target="../charts/chart28.xml"/><Relationship Id="rId5" Type="http://schemas.openxmlformats.org/officeDocument/2006/relationships/chart" Target="../charts/chart27.xml"/><Relationship Id="rId4" Type="http://schemas.microsoft.com/office/2014/relationships/chartEx" Target="../charts/chartEx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9523</xdr:colOff>
      <xdr:row>0</xdr:row>
      <xdr:rowOff>0</xdr:rowOff>
    </xdr:from>
    <xdr:to>
      <xdr:col>11</xdr:col>
      <xdr:colOff>0</xdr:colOff>
      <xdr:row>21</xdr:row>
      <xdr:rowOff>9525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65E62833-ED8A-FFB9-7C36-80F6923A2AD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" r="10"/>
        <a:stretch>
          <a:fillRect/>
        </a:stretch>
      </xdr:blipFill>
      <xdr:spPr>
        <a:xfrm>
          <a:off x="9523" y="0"/>
          <a:ext cx="8562977" cy="4429125"/>
        </a:xfrm>
        <a:prstGeom prst="rect">
          <a:avLst/>
        </a:prstGeom>
      </xdr:spPr>
    </xdr:pic>
    <xdr:clientData/>
  </xdr:twoCellAnchor>
  <xdr:twoCellAnchor>
    <xdr:from>
      <xdr:col>3</xdr:col>
      <xdr:colOff>602672</xdr:colOff>
      <xdr:row>8</xdr:row>
      <xdr:rowOff>38100</xdr:rowOff>
    </xdr:from>
    <xdr:to>
      <xdr:col>5</xdr:col>
      <xdr:colOff>342136</xdr:colOff>
      <xdr:row>9</xdr:row>
      <xdr:rowOff>161925</xdr:rowOff>
    </xdr:to>
    <xdr:sp macro="" textlink="">
      <xdr:nvSpPr>
        <xdr:cNvPr id="4" name="Rectángulo: esquinas redondeadas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BB1F5CA-D751-4E3E-AE66-BE01BE487901}"/>
            </a:ext>
          </a:extLst>
        </xdr:cNvPr>
        <xdr:cNvSpPr/>
      </xdr:nvSpPr>
      <xdr:spPr>
        <a:xfrm>
          <a:off x="3079172" y="1743075"/>
          <a:ext cx="1263464" cy="361950"/>
        </a:xfrm>
        <a:prstGeom prst="roundRect">
          <a:avLst/>
        </a:prstGeom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/>
            <a:t>Social</a:t>
          </a:r>
        </a:p>
      </xdr:txBody>
    </xdr:sp>
    <xdr:clientData/>
  </xdr:twoCellAnchor>
  <xdr:twoCellAnchor>
    <xdr:from>
      <xdr:col>5</xdr:col>
      <xdr:colOff>444211</xdr:colOff>
      <xdr:row>8</xdr:row>
      <xdr:rowOff>38100</xdr:rowOff>
    </xdr:from>
    <xdr:to>
      <xdr:col>7</xdr:col>
      <xdr:colOff>180211</xdr:colOff>
      <xdr:row>9</xdr:row>
      <xdr:rowOff>161925</xdr:rowOff>
    </xdr:to>
    <xdr:sp macro="" textlink="">
      <xdr:nvSpPr>
        <xdr:cNvPr id="5" name="Rectángulo: esquinas redondeadas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8C709E1-31FD-4602-9FE7-B7487CE51B51}"/>
            </a:ext>
          </a:extLst>
        </xdr:cNvPr>
        <xdr:cNvSpPr/>
      </xdr:nvSpPr>
      <xdr:spPr>
        <a:xfrm>
          <a:off x="4444711" y="1743075"/>
          <a:ext cx="1260000" cy="361950"/>
        </a:xfrm>
        <a:prstGeom prst="roundRect">
          <a:avLst/>
        </a:prstGeom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/>
            <a:t>Ambiental</a:t>
          </a:r>
        </a:p>
      </xdr:txBody>
    </xdr:sp>
    <xdr:clientData/>
  </xdr:twoCellAnchor>
  <xdr:twoCellAnchor>
    <xdr:from>
      <xdr:col>2</xdr:col>
      <xdr:colOff>9525</xdr:colOff>
      <xdr:row>8</xdr:row>
      <xdr:rowOff>38100</xdr:rowOff>
    </xdr:from>
    <xdr:to>
      <xdr:col>3</xdr:col>
      <xdr:colOff>510122</xdr:colOff>
      <xdr:row>9</xdr:row>
      <xdr:rowOff>161925</xdr:rowOff>
    </xdr:to>
    <xdr:sp macro="" textlink="">
      <xdr:nvSpPr>
        <xdr:cNvPr id="6" name="Rectángulo: esquinas redondeadas 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3017CC5-0944-404B-B7CD-9E2A500F8561}"/>
            </a:ext>
          </a:extLst>
        </xdr:cNvPr>
        <xdr:cNvSpPr/>
      </xdr:nvSpPr>
      <xdr:spPr>
        <a:xfrm>
          <a:off x="1724025" y="1743075"/>
          <a:ext cx="1262597" cy="361950"/>
        </a:xfrm>
        <a:prstGeom prst="roundRect">
          <a:avLst/>
        </a:prstGeom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/>
            <a:t>Económico</a:t>
          </a:r>
        </a:p>
      </xdr:txBody>
    </xdr:sp>
    <xdr:clientData/>
  </xdr:twoCellAnchor>
  <xdr:twoCellAnchor>
    <xdr:from>
      <xdr:col>2</xdr:col>
      <xdr:colOff>9525</xdr:colOff>
      <xdr:row>10</xdr:row>
      <xdr:rowOff>38100</xdr:rowOff>
    </xdr:from>
    <xdr:to>
      <xdr:col>7</xdr:col>
      <xdr:colOff>190500</xdr:colOff>
      <xdr:row>11</xdr:row>
      <xdr:rowOff>161925</xdr:rowOff>
    </xdr:to>
    <xdr:sp macro="" textlink="">
      <xdr:nvSpPr>
        <xdr:cNvPr id="7" name="Rectángulo: esquinas redondeadas 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114916C0-53DF-48A7-A11B-D598C23C1489}"/>
            </a:ext>
          </a:extLst>
        </xdr:cNvPr>
        <xdr:cNvSpPr/>
      </xdr:nvSpPr>
      <xdr:spPr>
        <a:xfrm>
          <a:off x="1724025" y="2219325"/>
          <a:ext cx="3990975" cy="361950"/>
        </a:xfrm>
        <a:prstGeom prst="roundRect">
          <a:avLst/>
        </a:prstGeom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/>
            <a:t>Departamento de</a:t>
          </a:r>
          <a:r>
            <a:rPr lang="es-CO" sz="1100" baseline="0"/>
            <a:t> B</a:t>
          </a:r>
          <a:r>
            <a:rPr lang="es-CO" sz="1100"/>
            <a:t>oyacá</a:t>
          </a:r>
        </a:p>
      </xdr:txBody>
    </xdr:sp>
    <xdr:clientData/>
  </xdr:twoCellAnchor>
  <xdr:twoCellAnchor>
    <xdr:from>
      <xdr:col>2</xdr:col>
      <xdr:colOff>0</xdr:colOff>
      <xdr:row>12</xdr:row>
      <xdr:rowOff>66675</xdr:rowOff>
    </xdr:from>
    <xdr:to>
      <xdr:col>7</xdr:col>
      <xdr:colOff>180975</xdr:colOff>
      <xdr:row>13</xdr:row>
      <xdr:rowOff>171450</xdr:rowOff>
    </xdr:to>
    <xdr:sp macro="" textlink="">
      <xdr:nvSpPr>
        <xdr:cNvPr id="2" name="Rectángulo: esquinas redondeadas 1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D2A1E3BF-A756-4C2B-B61E-AFA47BEBB8B6}"/>
            </a:ext>
          </a:extLst>
        </xdr:cNvPr>
        <xdr:cNvSpPr/>
      </xdr:nvSpPr>
      <xdr:spPr>
        <a:xfrm>
          <a:off x="1714500" y="2676525"/>
          <a:ext cx="3990975" cy="361950"/>
        </a:xfrm>
        <a:prstGeom prst="roundRect">
          <a:avLst/>
        </a:prstGeom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/>
            <a:t>Tejido</a:t>
          </a:r>
          <a:r>
            <a:rPr lang="es-CO" sz="1100" baseline="0"/>
            <a:t> Empresarial por Cámaras</a:t>
          </a:r>
          <a:endParaRPr lang="es-CO" sz="1100"/>
        </a:p>
      </xdr:txBody>
    </xdr:sp>
    <xdr:clientData/>
  </xdr:twoCellAnchor>
  <xdr:twoCellAnchor editAs="oneCell">
    <xdr:from>
      <xdr:col>7</xdr:col>
      <xdr:colOff>657225</xdr:colOff>
      <xdr:row>8</xdr:row>
      <xdr:rowOff>142875</xdr:rowOff>
    </xdr:from>
    <xdr:to>
      <xdr:col>10</xdr:col>
      <xdr:colOff>234180</xdr:colOff>
      <xdr:row>13</xdr:row>
      <xdr:rowOff>58888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CEF20D13-C6DB-40B2-95EE-AE4B3C5B55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81725" y="1847850"/>
          <a:ext cx="1862955" cy="1078063"/>
        </a:xfrm>
        <a:prstGeom prst="rect">
          <a:avLst/>
        </a:prstGeom>
      </xdr:spPr>
    </xdr:pic>
    <xdr:clientData/>
  </xdr:twoCellAnchor>
  <xdr:oneCellAnchor>
    <xdr:from>
      <xdr:col>0</xdr:col>
      <xdr:colOff>0</xdr:colOff>
      <xdr:row>1</xdr:row>
      <xdr:rowOff>47625</xdr:rowOff>
    </xdr:from>
    <xdr:ext cx="8562975" cy="3429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3F206DFA-78BA-E81D-0E55-1C7BF45B3D05}"/>
            </a:ext>
          </a:extLst>
        </xdr:cNvPr>
        <xdr:cNvSpPr/>
      </xdr:nvSpPr>
      <xdr:spPr>
        <a:xfrm>
          <a:off x="0" y="409575"/>
          <a:ext cx="8562975" cy="342900"/>
        </a:xfrm>
        <a:prstGeom prst="rect">
          <a:avLst/>
        </a:prstGeom>
        <a:solidFill>
          <a:srgbClr val="0070C0"/>
        </a:solidFill>
      </xdr:spPr>
      <xdr:txBody>
        <a:bodyPr wrap="square" lIns="91440" tIns="45720" rIns="91440" bIns="45720">
          <a:noAutofit/>
        </a:bodyPr>
        <a:lstStyle/>
        <a:p>
          <a:pPr algn="ctr"/>
          <a:r>
            <a:rPr lang="es-ES" sz="1500" b="1" cap="none" spc="0">
              <a:ln w="0"/>
              <a:solidFill>
                <a:sysClr val="windowText" lastClr="000000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Programa soporte como complemento al documento "Boyacá en Cifras - 2024"</a:t>
          </a:r>
        </a:p>
      </xdr:txBody>
    </xdr:sp>
    <xdr:clientData/>
  </xdr:oneCellAnchor>
  <xdr:oneCellAnchor>
    <xdr:from>
      <xdr:col>6</xdr:col>
      <xdr:colOff>104776</xdr:colOff>
      <xdr:row>3</xdr:row>
      <xdr:rowOff>278898</xdr:rowOff>
    </xdr:from>
    <xdr:ext cx="3695698" cy="749949"/>
    <xdr:sp macro="" textlink="">
      <xdr:nvSpPr>
        <xdr:cNvPr id="8" name="Rectángulo 7">
          <a:extLst>
            <a:ext uri="{FF2B5EF4-FFF2-40B4-BE49-F238E27FC236}">
              <a16:creationId xmlns:a16="http://schemas.microsoft.com/office/drawing/2014/main" id="{35E6B95C-D84D-5CBC-1C53-1EAE420A9165}"/>
            </a:ext>
          </a:extLst>
        </xdr:cNvPr>
        <xdr:cNvSpPr/>
      </xdr:nvSpPr>
      <xdr:spPr>
        <a:xfrm>
          <a:off x="4867276" y="936123"/>
          <a:ext cx="3695698" cy="74994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ES" sz="1050" b="0" cap="none" spc="0">
              <a:ln w="0"/>
              <a:solidFill>
                <a:schemeClr val="bg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Puede consultar la estadística en tres entornos municipales: económico, social y ambiental.</a:t>
          </a:r>
        </a:p>
        <a:p>
          <a:pPr algn="ctr"/>
          <a:r>
            <a:rPr lang="es-ES" sz="1050" b="0" cap="none" spc="0">
              <a:ln w="0"/>
              <a:solidFill>
                <a:schemeClr val="bg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También puede revisar las cifras para el Departamento de Boyacá</a:t>
          </a:r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8572500" cy="405432"/>
    <xdr:sp macro="" textlink="">
      <xdr:nvSpPr>
        <xdr:cNvPr id="13" name="Rectángulo 12">
          <a:extLst>
            <a:ext uri="{FF2B5EF4-FFF2-40B4-BE49-F238E27FC236}">
              <a16:creationId xmlns:a16="http://schemas.microsoft.com/office/drawing/2014/main" id="{9E839A47-FE81-69D4-FCDF-8E1F7725BE73}"/>
            </a:ext>
          </a:extLst>
        </xdr:cNvPr>
        <xdr:cNvSpPr/>
      </xdr:nvSpPr>
      <xdr:spPr>
        <a:xfrm>
          <a:off x="0" y="0"/>
          <a:ext cx="8572500" cy="405432"/>
        </a:xfrm>
        <a:prstGeom prst="rect">
          <a:avLst/>
        </a:prstGeom>
        <a:solidFill>
          <a:srgbClr val="C00000"/>
        </a:solidFill>
      </xdr:spPr>
      <xdr:txBody>
        <a:bodyPr wrap="square" lIns="91440" tIns="45720" rIns="91440" bIns="45720">
          <a:spAutoFit/>
        </a:bodyPr>
        <a:lstStyle/>
        <a:p>
          <a:pPr algn="ctr"/>
          <a:r>
            <a:rPr lang="es-E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Estadísticas departamentales y municipales para la toma de decisiones locales</a:t>
          </a:r>
        </a:p>
      </xdr:txBody>
    </xdr:sp>
    <xdr:clientData/>
  </xdr:oneCellAnchor>
  <xdr:twoCellAnchor>
    <xdr:from>
      <xdr:col>0</xdr:col>
      <xdr:colOff>180975</xdr:colOff>
      <xdr:row>8</xdr:row>
      <xdr:rowOff>57150</xdr:rowOff>
    </xdr:from>
    <xdr:to>
      <xdr:col>1</xdr:col>
      <xdr:colOff>740475</xdr:colOff>
      <xdr:row>9</xdr:row>
      <xdr:rowOff>152400</xdr:rowOff>
    </xdr:to>
    <xdr:sp macro="" textlink="">
      <xdr:nvSpPr>
        <xdr:cNvPr id="14" name="CuadroTexto 13">
          <a:extLst>
            <a:ext uri="{FF2B5EF4-FFF2-40B4-BE49-F238E27FC236}">
              <a16:creationId xmlns:a16="http://schemas.microsoft.com/office/drawing/2014/main" id="{A80B77E8-A32F-CAE8-F2EB-548C60E4FFB4}"/>
            </a:ext>
          </a:extLst>
        </xdr:cNvPr>
        <xdr:cNvSpPr txBox="1"/>
      </xdr:nvSpPr>
      <xdr:spPr>
        <a:xfrm>
          <a:off x="180975" y="1762125"/>
          <a:ext cx="1512000" cy="3333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600" b="1">
              <a:solidFill>
                <a:sysClr val="windowText" lastClr="000000"/>
              </a:solidFill>
              <a:effectLst>
                <a:outerShdw blurRad="50800" dist="38100" dir="13500000" algn="br" rotWithShape="0">
                  <a:schemeClr val="bg1">
                    <a:alpha val="40000"/>
                  </a:schemeClr>
                </a:outerShdw>
              </a:effectLst>
            </a:rPr>
            <a:t>Municipal</a:t>
          </a:r>
        </a:p>
      </xdr:txBody>
    </xdr:sp>
    <xdr:clientData/>
  </xdr:twoCellAnchor>
  <xdr:twoCellAnchor>
    <xdr:from>
      <xdr:col>0</xdr:col>
      <xdr:colOff>180975</xdr:colOff>
      <xdr:row>10</xdr:row>
      <xdr:rowOff>47625</xdr:rowOff>
    </xdr:from>
    <xdr:to>
      <xdr:col>1</xdr:col>
      <xdr:colOff>740475</xdr:colOff>
      <xdr:row>11</xdr:row>
      <xdr:rowOff>142875</xdr:rowOff>
    </xdr:to>
    <xdr:sp macro="" textlink="">
      <xdr:nvSpPr>
        <xdr:cNvPr id="15" name="CuadroTexto 14">
          <a:extLst>
            <a:ext uri="{FF2B5EF4-FFF2-40B4-BE49-F238E27FC236}">
              <a16:creationId xmlns:a16="http://schemas.microsoft.com/office/drawing/2014/main" id="{E9910FA2-653D-4986-AD91-B931C6CFFCB8}"/>
            </a:ext>
          </a:extLst>
        </xdr:cNvPr>
        <xdr:cNvSpPr txBox="1"/>
      </xdr:nvSpPr>
      <xdr:spPr>
        <a:xfrm>
          <a:off x="180975" y="2228850"/>
          <a:ext cx="1512000" cy="3333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600" b="1">
              <a:solidFill>
                <a:sysClr val="windowText" lastClr="000000"/>
              </a:solidFill>
              <a:effectLst>
                <a:outerShdw blurRad="50800" dist="38100" dir="2700000" algn="tl" rotWithShape="0">
                  <a:schemeClr val="bg1">
                    <a:alpha val="40000"/>
                  </a:schemeClr>
                </a:outerShdw>
              </a:effectLst>
            </a:rPr>
            <a:t>Departamental</a:t>
          </a:r>
        </a:p>
      </xdr:txBody>
    </xdr:sp>
    <xdr:clientData/>
  </xdr:twoCellAnchor>
  <xdr:twoCellAnchor>
    <xdr:from>
      <xdr:col>0</xdr:col>
      <xdr:colOff>171450</xdr:colOff>
      <xdr:row>12</xdr:row>
      <xdr:rowOff>85725</xdr:rowOff>
    </xdr:from>
    <xdr:to>
      <xdr:col>1</xdr:col>
      <xdr:colOff>730950</xdr:colOff>
      <xdr:row>13</xdr:row>
      <xdr:rowOff>161925</xdr:rowOff>
    </xdr:to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A6BBC76E-7601-4BDB-BEAF-503B33AA329B}"/>
            </a:ext>
          </a:extLst>
        </xdr:cNvPr>
        <xdr:cNvSpPr txBox="1"/>
      </xdr:nvSpPr>
      <xdr:spPr>
        <a:xfrm>
          <a:off x="171450" y="2695575"/>
          <a:ext cx="1512000" cy="3333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600" b="1">
              <a:solidFill>
                <a:sysClr val="windowText" lastClr="000000"/>
              </a:solidFill>
              <a:effectLst>
                <a:outerShdw blurRad="50800" dist="38100" dir="8100000" algn="tr" rotWithShape="0">
                  <a:schemeClr val="bg1">
                    <a:alpha val="40000"/>
                  </a:schemeClr>
                </a:outerShdw>
              </a:effectLst>
            </a:rPr>
            <a:t>Comparativo</a:t>
          </a:r>
        </a:p>
      </xdr:txBody>
    </xdr:sp>
    <xdr:clientData/>
  </xdr:twoCellAnchor>
  <xdr:twoCellAnchor editAs="oneCell">
    <xdr:from>
      <xdr:col>4</xdr:col>
      <xdr:colOff>476250</xdr:colOff>
      <xdr:row>14</xdr:row>
      <xdr:rowOff>97484</xdr:rowOff>
    </xdr:from>
    <xdr:to>
      <xdr:col>6</xdr:col>
      <xdr:colOff>426980</xdr:colOff>
      <xdr:row>20</xdr:row>
      <xdr:rowOff>5909</xdr:rowOff>
    </xdr:to>
    <xdr:pic>
      <xdr:nvPicPr>
        <xdr:cNvPr id="22" name="Imagen 21">
          <a:extLst>
            <a:ext uri="{FF2B5EF4-FFF2-40B4-BE49-F238E27FC236}">
              <a16:creationId xmlns:a16="http://schemas.microsoft.com/office/drawing/2014/main" id="{9E076BCE-7FCE-5319-EF34-17F793F379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14750" y="3155009"/>
          <a:ext cx="1474730" cy="1080000"/>
        </a:xfrm>
        <a:prstGeom prst="rect">
          <a:avLst/>
        </a:prstGeom>
      </xdr:spPr>
    </xdr:pic>
    <xdr:clientData/>
  </xdr:twoCellAnchor>
  <xdr:twoCellAnchor editAs="oneCell">
    <xdr:from>
      <xdr:col>6</xdr:col>
      <xdr:colOff>527611</xdr:colOff>
      <xdr:row>14</xdr:row>
      <xdr:rowOff>97484</xdr:rowOff>
    </xdr:from>
    <xdr:to>
      <xdr:col>8</xdr:col>
      <xdr:colOff>411468</xdr:colOff>
      <xdr:row>20</xdr:row>
      <xdr:rowOff>5909</xdr:rowOff>
    </xdr:to>
    <xdr:pic>
      <xdr:nvPicPr>
        <xdr:cNvPr id="24" name="Imagen 23">
          <a:extLst>
            <a:ext uri="{FF2B5EF4-FFF2-40B4-BE49-F238E27FC236}">
              <a16:creationId xmlns:a16="http://schemas.microsoft.com/office/drawing/2014/main" id="{62A87573-FDB5-BFA3-35D9-6417473745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90111" y="3155009"/>
          <a:ext cx="1407857" cy="1080000"/>
        </a:xfrm>
        <a:prstGeom prst="rect">
          <a:avLst/>
        </a:prstGeom>
      </xdr:spPr>
    </xdr:pic>
    <xdr:clientData/>
  </xdr:twoCellAnchor>
  <xdr:twoCellAnchor editAs="oneCell">
    <xdr:from>
      <xdr:col>8</xdr:col>
      <xdr:colOff>512098</xdr:colOff>
      <xdr:row>14</xdr:row>
      <xdr:rowOff>97484</xdr:rowOff>
    </xdr:from>
    <xdr:to>
      <xdr:col>10</xdr:col>
      <xdr:colOff>339662</xdr:colOff>
      <xdr:row>20</xdr:row>
      <xdr:rowOff>5909</xdr:rowOff>
    </xdr:to>
    <xdr:pic>
      <xdr:nvPicPr>
        <xdr:cNvPr id="26" name="Imagen 25">
          <a:extLst>
            <a:ext uri="{FF2B5EF4-FFF2-40B4-BE49-F238E27FC236}">
              <a16:creationId xmlns:a16="http://schemas.microsoft.com/office/drawing/2014/main" id="{984BB910-A2A7-0426-0F66-265204FA28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98598" y="3155009"/>
          <a:ext cx="1351564" cy="1080000"/>
        </a:xfrm>
        <a:prstGeom prst="rect">
          <a:avLst/>
        </a:prstGeom>
      </xdr:spPr>
    </xdr:pic>
    <xdr:clientData/>
  </xdr:twoCellAnchor>
  <xdr:twoCellAnchor>
    <xdr:from>
      <xdr:col>11</xdr:col>
      <xdr:colOff>285750</xdr:colOff>
      <xdr:row>11</xdr:row>
      <xdr:rowOff>9525</xdr:rowOff>
    </xdr:from>
    <xdr:to>
      <xdr:col>14</xdr:col>
      <xdr:colOff>371475</xdr:colOff>
      <xdr:row>13</xdr:row>
      <xdr:rowOff>76200</xdr:rowOff>
    </xdr:to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114BF26A-A37A-364C-3BEF-2D8D5A8C2CBD}"/>
            </a:ext>
          </a:extLst>
        </xdr:cNvPr>
        <xdr:cNvSpPr txBox="1"/>
      </xdr:nvSpPr>
      <xdr:spPr>
        <a:xfrm>
          <a:off x="8858250" y="2428875"/>
          <a:ext cx="2371725" cy="514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100"/>
            <a:t>Requerimientos:</a:t>
          </a:r>
        </a:p>
        <a:p>
          <a:pPr algn="ctr"/>
          <a:r>
            <a:rPr lang="es-CO" sz="1100"/>
            <a:t>Microsoft Excel 2021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10583</xdr:rowOff>
    </xdr:from>
    <xdr:to>
      <xdr:col>5</xdr:col>
      <xdr:colOff>12000</xdr:colOff>
      <xdr:row>16</xdr:row>
      <xdr:rowOff>38100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31B58A19-2E54-0D5A-64C6-596E6DA6AF3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16</xdr:row>
      <xdr:rowOff>24343</xdr:rowOff>
    </xdr:from>
    <xdr:to>
      <xdr:col>3</xdr:col>
      <xdr:colOff>590550</xdr:colOff>
      <xdr:row>26</xdr:row>
      <xdr:rowOff>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80ABE77C-6BE5-39BA-72D9-4C609B26AA4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1057</xdr:colOff>
      <xdr:row>3</xdr:row>
      <xdr:rowOff>0</xdr:rowOff>
    </xdr:from>
    <xdr:to>
      <xdr:col>9</xdr:col>
      <xdr:colOff>86489</xdr:colOff>
      <xdr:row>13</xdr:row>
      <xdr:rowOff>179911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5" name="Gráfico 4">
              <a:extLst>
                <a:ext uri="{FF2B5EF4-FFF2-40B4-BE49-F238E27FC236}">
                  <a16:creationId xmlns:a16="http://schemas.microsoft.com/office/drawing/2014/main" id="{DA83D5F6-36A5-3E68-CA42-1F8BC60176F1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3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792257" y="647700"/>
              <a:ext cx="2485732" cy="2084911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>
    <xdr:from>
      <xdr:col>9</xdr:col>
      <xdr:colOff>43296</xdr:colOff>
      <xdr:row>2</xdr:row>
      <xdr:rowOff>186943</xdr:rowOff>
    </xdr:from>
    <xdr:to>
      <xdr:col>13</xdr:col>
      <xdr:colOff>16160</xdr:colOff>
      <xdr:row>13</xdr:row>
      <xdr:rowOff>175843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15" name="Gráfico 14">
              <a:extLst>
                <a:ext uri="{FF2B5EF4-FFF2-40B4-BE49-F238E27FC236}">
                  <a16:creationId xmlns:a16="http://schemas.microsoft.com/office/drawing/2014/main" id="{710D7EF2-0915-4C2D-B936-E4220B4C243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4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234796" y="644143"/>
              <a:ext cx="2477939" cy="20844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>
    <xdr:from>
      <xdr:col>3</xdr:col>
      <xdr:colOff>581025</xdr:colOff>
      <xdr:row>13</xdr:row>
      <xdr:rowOff>132299</xdr:rowOff>
    </xdr:from>
    <xdr:to>
      <xdr:col>13</xdr:col>
      <xdr:colOff>9525</xdr:colOff>
      <xdr:row>32</xdr:row>
      <xdr:rowOff>180975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74FB228E-1EB1-7D9F-D3F7-317E51A375D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25</xdr:row>
      <xdr:rowOff>180975</xdr:rowOff>
    </xdr:from>
    <xdr:to>
      <xdr:col>3</xdr:col>
      <xdr:colOff>628650</xdr:colOff>
      <xdr:row>33</xdr:row>
      <xdr:rowOff>0</xdr:rowOff>
    </xdr:to>
    <mc:AlternateContent xmlns:mc="http://schemas.openxmlformats.org/markup-compatibility/2006">
      <mc:Choice xmlns:cx2="http://schemas.microsoft.com/office/drawing/2015/10/21/chartex" Requires="cx2">
        <xdr:graphicFrame macro="">
          <xdr:nvGraphicFramePr>
            <xdr:cNvPr id="18" name="Gráfico 17">
              <a:extLst>
                <a:ext uri="{FF2B5EF4-FFF2-40B4-BE49-F238E27FC236}">
                  <a16:creationId xmlns:a16="http://schemas.microsoft.com/office/drawing/2014/main" id="{16F5016A-60FE-E6EC-5471-6839EF7753E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6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5095875"/>
              <a:ext cx="4838700" cy="14192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>
    <xdr:from>
      <xdr:col>0</xdr:col>
      <xdr:colOff>0</xdr:colOff>
      <xdr:row>32</xdr:row>
      <xdr:rowOff>189441</xdr:rowOff>
    </xdr:from>
    <xdr:to>
      <xdr:col>3</xdr:col>
      <xdr:colOff>552450</xdr:colOff>
      <xdr:row>45</xdr:row>
      <xdr:rowOff>38100</xdr:rowOff>
    </xdr:to>
    <xdr:graphicFrame macro="">
      <xdr:nvGraphicFramePr>
        <xdr:cNvPr id="19" name="Gráfico 18">
          <a:extLst>
            <a:ext uri="{FF2B5EF4-FFF2-40B4-BE49-F238E27FC236}">
              <a16:creationId xmlns:a16="http://schemas.microsoft.com/office/drawing/2014/main" id="{CAC88602-CA84-CBFD-08A1-B48C18DA8E1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</xdr:col>
      <xdr:colOff>552450</xdr:colOff>
      <xdr:row>32</xdr:row>
      <xdr:rowOff>179917</xdr:rowOff>
    </xdr:from>
    <xdr:to>
      <xdr:col>13</xdr:col>
      <xdr:colOff>7101</xdr:colOff>
      <xdr:row>45</xdr:row>
      <xdr:rowOff>38100</xdr:rowOff>
    </xdr:to>
    <xdr:graphicFrame macro="">
      <xdr:nvGraphicFramePr>
        <xdr:cNvPr id="20" name="Gráfico 19">
          <a:extLst>
            <a:ext uri="{FF2B5EF4-FFF2-40B4-BE49-F238E27FC236}">
              <a16:creationId xmlns:a16="http://schemas.microsoft.com/office/drawing/2014/main" id="{9D130993-7DC2-5EDE-D25C-5D460D0A42C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714375</xdr:colOff>
      <xdr:row>3</xdr:row>
      <xdr:rowOff>95250</xdr:rowOff>
    </xdr:from>
    <xdr:to>
      <xdr:col>4</xdr:col>
      <xdr:colOff>304800</xdr:colOff>
      <xdr:row>5</xdr:row>
      <xdr:rowOff>28575</xdr:rowOff>
    </xdr:to>
    <xdr:sp macro="" textlink="">
      <xdr:nvSpPr>
        <xdr:cNvPr id="2" name="Rectángulo: esquinas redondeadas 1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875BFB2B-0993-9D18-B230-C1491223AC79}"/>
            </a:ext>
          </a:extLst>
        </xdr:cNvPr>
        <xdr:cNvSpPr/>
      </xdr:nvSpPr>
      <xdr:spPr>
        <a:xfrm>
          <a:off x="4924425" y="742950"/>
          <a:ext cx="714375" cy="314325"/>
        </a:xfrm>
        <a:prstGeom prst="roundRect">
          <a:avLst/>
        </a:prstGeom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/>
            <a:t>Inicio</a:t>
          </a:r>
        </a:p>
      </xdr:txBody>
    </xdr:sp>
    <xdr:clientData/>
  </xdr:twoCellAnchor>
  <xdr:twoCellAnchor>
    <xdr:from>
      <xdr:col>3</xdr:col>
      <xdr:colOff>542925</xdr:colOff>
      <xdr:row>67</xdr:row>
      <xdr:rowOff>171450</xdr:rowOff>
    </xdr:from>
    <xdr:to>
      <xdr:col>5</xdr:col>
      <xdr:colOff>221775</xdr:colOff>
      <xdr:row>69</xdr:row>
      <xdr:rowOff>104775</xdr:rowOff>
    </xdr:to>
    <xdr:sp macro="" textlink="">
      <xdr:nvSpPr>
        <xdr:cNvPr id="9" name="Rectángulo: esquinas redondeadas 8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27AB14E8-4546-4F6B-98B7-F1D48C0349A5}"/>
            </a:ext>
          </a:extLst>
        </xdr:cNvPr>
        <xdr:cNvSpPr/>
      </xdr:nvSpPr>
      <xdr:spPr>
        <a:xfrm>
          <a:off x="4752975" y="13163550"/>
          <a:ext cx="1260000" cy="314325"/>
        </a:xfrm>
        <a:prstGeom prst="roundRect">
          <a:avLst/>
        </a:prstGeom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/>
            <a:t>Social</a:t>
          </a:r>
        </a:p>
      </xdr:txBody>
    </xdr:sp>
    <xdr:clientData/>
  </xdr:twoCellAnchor>
  <xdr:twoCellAnchor>
    <xdr:from>
      <xdr:col>5</xdr:col>
      <xdr:colOff>304800</xdr:colOff>
      <xdr:row>67</xdr:row>
      <xdr:rowOff>171450</xdr:rowOff>
    </xdr:from>
    <xdr:to>
      <xdr:col>7</xdr:col>
      <xdr:colOff>291914</xdr:colOff>
      <xdr:row>69</xdr:row>
      <xdr:rowOff>104775</xdr:rowOff>
    </xdr:to>
    <xdr:sp macro="" textlink="">
      <xdr:nvSpPr>
        <xdr:cNvPr id="10" name="Rectángulo: esquinas redondeadas 9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72921E21-6B3B-46AD-8EF1-FEE1D360222A}"/>
            </a:ext>
          </a:extLst>
        </xdr:cNvPr>
        <xdr:cNvSpPr/>
      </xdr:nvSpPr>
      <xdr:spPr>
        <a:xfrm>
          <a:off x="6106391" y="13168745"/>
          <a:ext cx="1260000" cy="314325"/>
        </a:xfrm>
        <a:prstGeom prst="roundRect">
          <a:avLst/>
        </a:prstGeom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/>
            <a:t>Ambiental</a:t>
          </a:r>
        </a:p>
      </xdr:txBody>
    </xdr:sp>
    <xdr:clientData/>
  </xdr:twoCellAnchor>
  <xdr:twoCellAnchor>
    <xdr:from>
      <xdr:col>2</xdr:col>
      <xdr:colOff>781050</xdr:colOff>
      <xdr:row>67</xdr:row>
      <xdr:rowOff>171450</xdr:rowOff>
    </xdr:from>
    <xdr:to>
      <xdr:col>3</xdr:col>
      <xdr:colOff>450375</xdr:colOff>
      <xdr:row>69</xdr:row>
      <xdr:rowOff>104775</xdr:rowOff>
    </xdr:to>
    <xdr:sp macro="" textlink="">
      <xdr:nvSpPr>
        <xdr:cNvPr id="11" name="Rectángulo: esquinas redondeadas 10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DCCFB3E0-3FF7-4325-8281-FA2134B6E888}"/>
            </a:ext>
          </a:extLst>
        </xdr:cNvPr>
        <xdr:cNvSpPr/>
      </xdr:nvSpPr>
      <xdr:spPr>
        <a:xfrm>
          <a:off x="3400425" y="13163550"/>
          <a:ext cx="1260000" cy="314325"/>
        </a:xfrm>
        <a:prstGeom prst="roundRect">
          <a:avLst/>
        </a:prstGeom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/>
            <a:t>Inicio</a:t>
          </a:r>
        </a:p>
      </xdr:txBody>
    </xdr:sp>
    <xdr:clientData/>
  </xdr:twoCellAnchor>
  <xdr:twoCellAnchor>
    <xdr:from>
      <xdr:col>0</xdr:col>
      <xdr:colOff>866</xdr:colOff>
      <xdr:row>44</xdr:row>
      <xdr:rowOff>180975</xdr:rowOff>
    </xdr:from>
    <xdr:to>
      <xdr:col>13</xdr:col>
      <xdr:colOff>17319</xdr:colOff>
      <xdr:row>67</xdr:row>
      <xdr:rowOff>1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12" name="Gráfico 11">
              <a:extLst>
                <a:ext uri="{FF2B5EF4-FFF2-40B4-BE49-F238E27FC236}">
                  <a16:creationId xmlns:a16="http://schemas.microsoft.com/office/drawing/2014/main" id="{4EB8EA63-81EC-1320-9344-C73537C9CC84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66" y="8791575"/>
              <a:ext cx="10713028" cy="4200526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410634</xdr:colOff>
      <xdr:row>5</xdr:row>
      <xdr:rowOff>50800</xdr:rowOff>
    </xdr:from>
    <xdr:to>
      <xdr:col>4</xdr:col>
      <xdr:colOff>1059</xdr:colOff>
      <xdr:row>6</xdr:row>
      <xdr:rowOff>174625</xdr:rowOff>
    </xdr:to>
    <xdr:sp macro="" textlink="">
      <xdr:nvSpPr>
        <xdr:cNvPr id="10" name="Rectángulo: esquinas redondeadas 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B3153D9-8A4D-437F-B3F0-82BF98B98C43}"/>
            </a:ext>
          </a:extLst>
        </xdr:cNvPr>
        <xdr:cNvSpPr/>
      </xdr:nvSpPr>
      <xdr:spPr>
        <a:xfrm>
          <a:off x="4622801" y="1077383"/>
          <a:ext cx="712258" cy="314325"/>
        </a:xfrm>
        <a:prstGeom prst="roundRect">
          <a:avLst/>
        </a:prstGeom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/>
            <a:t>Inicio</a:t>
          </a:r>
        </a:p>
      </xdr:txBody>
    </xdr:sp>
    <xdr:clientData/>
  </xdr:twoCellAnchor>
  <xdr:twoCellAnchor>
    <xdr:from>
      <xdr:col>3</xdr:col>
      <xdr:colOff>74082</xdr:colOff>
      <xdr:row>52</xdr:row>
      <xdr:rowOff>141819</xdr:rowOff>
    </xdr:from>
    <xdr:to>
      <xdr:col>4</xdr:col>
      <xdr:colOff>212249</xdr:colOff>
      <xdr:row>54</xdr:row>
      <xdr:rowOff>75144</xdr:rowOff>
    </xdr:to>
    <xdr:sp macro="" textlink="">
      <xdr:nvSpPr>
        <xdr:cNvPr id="11" name="Rectángulo: esquinas redondeadas 10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E52978B-451C-4CCF-911C-AB76722844C6}"/>
            </a:ext>
          </a:extLst>
        </xdr:cNvPr>
        <xdr:cNvSpPr/>
      </xdr:nvSpPr>
      <xdr:spPr>
        <a:xfrm>
          <a:off x="4286249" y="10259486"/>
          <a:ext cx="1260000" cy="314325"/>
        </a:xfrm>
        <a:prstGeom prst="roundRect">
          <a:avLst/>
        </a:prstGeom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/>
            <a:t>Económico</a:t>
          </a:r>
        </a:p>
      </xdr:txBody>
    </xdr:sp>
    <xdr:clientData/>
  </xdr:twoCellAnchor>
  <xdr:twoCellAnchor>
    <xdr:from>
      <xdr:col>4</xdr:col>
      <xdr:colOff>295274</xdr:colOff>
      <xdr:row>52</xdr:row>
      <xdr:rowOff>141819</xdr:rowOff>
    </xdr:from>
    <xdr:to>
      <xdr:col>6</xdr:col>
      <xdr:colOff>440849</xdr:colOff>
      <xdr:row>54</xdr:row>
      <xdr:rowOff>75144</xdr:rowOff>
    </xdr:to>
    <xdr:sp macro="" textlink="">
      <xdr:nvSpPr>
        <xdr:cNvPr id="12" name="Rectángulo: esquinas redondeadas 11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75CAF60-A7CC-4611-BE1E-EB849FE1DD5A}"/>
            </a:ext>
          </a:extLst>
        </xdr:cNvPr>
        <xdr:cNvSpPr/>
      </xdr:nvSpPr>
      <xdr:spPr>
        <a:xfrm>
          <a:off x="5629274" y="10266894"/>
          <a:ext cx="1260000" cy="314325"/>
        </a:xfrm>
        <a:prstGeom prst="roundRect">
          <a:avLst/>
        </a:prstGeom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/>
            <a:t>Ambiental</a:t>
          </a:r>
        </a:p>
      </xdr:txBody>
    </xdr:sp>
    <xdr:clientData/>
  </xdr:twoCellAnchor>
  <xdr:twoCellAnchor>
    <xdr:from>
      <xdr:col>2</xdr:col>
      <xdr:colOff>309032</xdr:colOff>
      <xdr:row>52</xdr:row>
      <xdr:rowOff>141819</xdr:rowOff>
    </xdr:from>
    <xdr:to>
      <xdr:col>2</xdr:col>
      <xdr:colOff>1569032</xdr:colOff>
      <xdr:row>54</xdr:row>
      <xdr:rowOff>75144</xdr:rowOff>
    </xdr:to>
    <xdr:sp macro="" textlink="">
      <xdr:nvSpPr>
        <xdr:cNvPr id="13" name="Rectángulo: esquinas redondeadas 1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1F53002-20F1-4620-9373-3FF7409EECA3}"/>
            </a:ext>
          </a:extLst>
        </xdr:cNvPr>
        <xdr:cNvSpPr/>
      </xdr:nvSpPr>
      <xdr:spPr>
        <a:xfrm>
          <a:off x="2933699" y="10259486"/>
          <a:ext cx="1260000" cy="314325"/>
        </a:xfrm>
        <a:prstGeom prst="roundRect">
          <a:avLst/>
        </a:prstGeom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/>
            <a:t>Inicio</a:t>
          </a:r>
        </a:p>
      </xdr:txBody>
    </xdr:sp>
    <xdr:clientData/>
  </xdr:twoCellAnchor>
  <xdr:twoCellAnchor>
    <xdr:from>
      <xdr:col>0</xdr:col>
      <xdr:colOff>0</xdr:colOff>
      <xdr:row>7</xdr:row>
      <xdr:rowOff>184149</xdr:rowOff>
    </xdr:from>
    <xdr:to>
      <xdr:col>2</xdr:col>
      <xdr:colOff>291333</xdr:colOff>
      <xdr:row>19</xdr:row>
      <xdr:rowOff>92066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id="{5DC094AF-3538-F6D4-F630-593ECFB21A3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</xdr:col>
      <xdr:colOff>296327</xdr:colOff>
      <xdr:row>7</xdr:row>
      <xdr:rowOff>190499</xdr:rowOff>
    </xdr:from>
    <xdr:to>
      <xdr:col>5</xdr:col>
      <xdr:colOff>11911</xdr:colOff>
      <xdr:row>19</xdr:row>
      <xdr:rowOff>98416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91795B4A-D85F-4AF4-B9B7-CBA058A7C2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10583</xdr:colOff>
      <xdr:row>0</xdr:row>
      <xdr:rowOff>0</xdr:rowOff>
    </xdr:from>
    <xdr:to>
      <xdr:col>13</xdr:col>
      <xdr:colOff>5849</xdr:colOff>
      <xdr:row>17</xdr:row>
      <xdr:rowOff>126999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F4DD5338-F7C0-45E7-9BD5-853248AD84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5</xdr:col>
      <xdr:colOff>10584</xdr:colOff>
      <xdr:row>17</xdr:row>
      <xdr:rowOff>131233</xdr:rowOff>
    </xdr:from>
    <xdr:to>
      <xdr:col>13</xdr:col>
      <xdr:colOff>6917</xdr:colOff>
      <xdr:row>33</xdr:row>
      <xdr:rowOff>0</xdr:rowOff>
    </xdr:to>
    <xdr:graphicFrame macro="">
      <xdr:nvGraphicFramePr>
        <xdr:cNvPr id="18" name="Gráfico 17">
          <a:extLst>
            <a:ext uri="{FF2B5EF4-FFF2-40B4-BE49-F238E27FC236}">
              <a16:creationId xmlns:a16="http://schemas.microsoft.com/office/drawing/2014/main" id="{714325C0-0D8D-5A4E-3BD1-C02587275AC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19</xdr:row>
      <xdr:rowOff>25408</xdr:rowOff>
    </xdr:from>
    <xdr:to>
      <xdr:col>5</xdr:col>
      <xdr:colOff>6917</xdr:colOff>
      <xdr:row>33</xdr:row>
      <xdr:rowOff>1</xdr:rowOff>
    </xdr:to>
    <xdr:graphicFrame macro="">
      <xdr:nvGraphicFramePr>
        <xdr:cNvPr id="19" name="Gráfico 18">
          <a:extLst>
            <a:ext uri="{FF2B5EF4-FFF2-40B4-BE49-F238E27FC236}">
              <a16:creationId xmlns:a16="http://schemas.microsoft.com/office/drawing/2014/main" id="{FC4021F2-E3DB-7684-0373-005E343AC88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32</xdr:row>
      <xdr:rowOff>162978</xdr:rowOff>
    </xdr:from>
    <xdr:to>
      <xdr:col>3</xdr:col>
      <xdr:colOff>592665</xdr:colOff>
      <xdr:row>51</xdr:row>
      <xdr:rowOff>69394</xdr:rowOff>
    </xdr:to>
    <xdr:graphicFrame macro="">
      <xdr:nvGraphicFramePr>
        <xdr:cNvPr id="20" name="Gráfico 19">
          <a:extLst>
            <a:ext uri="{FF2B5EF4-FFF2-40B4-BE49-F238E27FC236}">
              <a16:creationId xmlns:a16="http://schemas.microsoft.com/office/drawing/2014/main" id="{79B53790-19F1-6870-E43F-9262F14FEA7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3</xdr:col>
      <xdr:colOff>592666</xdr:colOff>
      <xdr:row>33</xdr:row>
      <xdr:rowOff>1</xdr:rowOff>
    </xdr:from>
    <xdr:to>
      <xdr:col>13</xdr:col>
      <xdr:colOff>0</xdr:colOff>
      <xdr:row>51</xdr:row>
      <xdr:rowOff>96917</xdr:rowOff>
    </xdr:to>
    <xdr:graphicFrame macro="">
      <xdr:nvGraphicFramePr>
        <xdr:cNvPr id="21" name="Gráfico 20">
          <a:extLst>
            <a:ext uri="{FF2B5EF4-FFF2-40B4-BE49-F238E27FC236}">
              <a16:creationId xmlns:a16="http://schemas.microsoft.com/office/drawing/2014/main" id="{00E46B6A-DC6C-2B85-21BE-1FFC0642A9A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639234</xdr:colOff>
      <xdr:row>3</xdr:row>
      <xdr:rowOff>288925</xdr:rowOff>
    </xdr:from>
    <xdr:to>
      <xdr:col>4</xdr:col>
      <xdr:colOff>229659</xdr:colOff>
      <xdr:row>5</xdr:row>
      <xdr:rowOff>107950</xdr:rowOff>
    </xdr:to>
    <xdr:sp macro="" textlink="">
      <xdr:nvSpPr>
        <xdr:cNvPr id="2" name="Rectángulo: esquinas redondeada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5C41DFF-23E8-4ECA-BD83-F87F4EF66F24}"/>
            </a:ext>
          </a:extLst>
        </xdr:cNvPr>
        <xdr:cNvSpPr/>
      </xdr:nvSpPr>
      <xdr:spPr>
        <a:xfrm>
          <a:off x="3563409" y="869950"/>
          <a:ext cx="733425" cy="314325"/>
        </a:xfrm>
        <a:prstGeom prst="roundRect">
          <a:avLst/>
        </a:prstGeom>
        <a:solidFill>
          <a:schemeClr val="accent5">
            <a:lumMod val="75000"/>
          </a:schemeClr>
        </a:solidFill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/>
            <a:t>Inicio</a:t>
          </a:r>
        </a:p>
      </xdr:txBody>
    </xdr:sp>
    <xdr:clientData/>
  </xdr:twoCellAnchor>
  <xdr:twoCellAnchor>
    <xdr:from>
      <xdr:col>0</xdr:col>
      <xdr:colOff>0</xdr:colOff>
      <xdr:row>7</xdr:row>
      <xdr:rowOff>14287</xdr:rowOff>
    </xdr:from>
    <xdr:to>
      <xdr:col>4</xdr:col>
      <xdr:colOff>761999</xdr:colOff>
      <xdr:row>21</xdr:row>
      <xdr:rowOff>90487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6210E907-6E51-CBCA-FE72-5852326624B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761999</xdr:colOff>
      <xdr:row>0</xdr:row>
      <xdr:rowOff>0</xdr:rowOff>
    </xdr:from>
    <xdr:to>
      <xdr:col>11</xdr:col>
      <xdr:colOff>9525</xdr:colOff>
      <xdr:row>21</xdr:row>
      <xdr:rowOff>85725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6F32E2C6-6A27-3055-985B-DE54D78061B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1031875</xdr:colOff>
      <xdr:row>22</xdr:row>
      <xdr:rowOff>47625</xdr:rowOff>
    </xdr:from>
    <xdr:to>
      <xdr:col>5</xdr:col>
      <xdr:colOff>388992</xdr:colOff>
      <xdr:row>23</xdr:row>
      <xdr:rowOff>171450</xdr:rowOff>
    </xdr:to>
    <xdr:sp macro="" textlink="">
      <xdr:nvSpPr>
        <xdr:cNvPr id="5" name="Rectángulo: esquinas redondeadas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8F63BEF-56DC-40F2-9E9C-45CFE8C0BBAC}"/>
            </a:ext>
          </a:extLst>
        </xdr:cNvPr>
        <xdr:cNvSpPr/>
      </xdr:nvSpPr>
      <xdr:spPr>
        <a:xfrm>
          <a:off x="3956050" y="4362450"/>
          <a:ext cx="1262117" cy="314325"/>
        </a:xfrm>
        <a:prstGeom prst="roundRect">
          <a:avLst/>
        </a:prstGeom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/>
            <a:t>Económico</a:t>
          </a:r>
        </a:p>
      </xdr:txBody>
    </xdr:sp>
    <xdr:clientData/>
  </xdr:twoCellAnchor>
  <xdr:twoCellAnchor>
    <xdr:from>
      <xdr:col>5</xdr:col>
      <xdr:colOff>472017</xdr:colOff>
      <xdr:row>22</xdr:row>
      <xdr:rowOff>47625</xdr:rowOff>
    </xdr:from>
    <xdr:to>
      <xdr:col>7</xdr:col>
      <xdr:colOff>208017</xdr:colOff>
      <xdr:row>23</xdr:row>
      <xdr:rowOff>171450</xdr:rowOff>
    </xdr:to>
    <xdr:sp macro="" textlink="">
      <xdr:nvSpPr>
        <xdr:cNvPr id="6" name="Rectángulo: esquinas redondeadas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560BB82A-2220-46B5-B957-8C09AC73584D}"/>
            </a:ext>
          </a:extLst>
        </xdr:cNvPr>
        <xdr:cNvSpPr/>
      </xdr:nvSpPr>
      <xdr:spPr>
        <a:xfrm>
          <a:off x="5301192" y="4362450"/>
          <a:ext cx="1260000" cy="314325"/>
        </a:xfrm>
        <a:prstGeom prst="roundRect">
          <a:avLst/>
        </a:prstGeom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/>
            <a:t>Social</a:t>
          </a:r>
        </a:p>
      </xdr:txBody>
    </xdr:sp>
    <xdr:clientData/>
  </xdr:twoCellAnchor>
  <xdr:twoCellAnchor>
    <xdr:from>
      <xdr:col>2</xdr:col>
      <xdr:colOff>895350</xdr:colOff>
      <xdr:row>22</xdr:row>
      <xdr:rowOff>47625</xdr:rowOff>
    </xdr:from>
    <xdr:to>
      <xdr:col>3</xdr:col>
      <xdr:colOff>936150</xdr:colOff>
      <xdr:row>23</xdr:row>
      <xdr:rowOff>171450</xdr:rowOff>
    </xdr:to>
    <xdr:sp macro="" textlink="">
      <xdr:nvSpPr>
        <xdr:cNvPr id="7" name="Rectángulo: esquinas redondeadas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165AD6B-FC25-4F60-A617-C53C6B4CAB94}"/>
            </a:ext>
          </a:extLst>
        </xdr:cNvPr>
        <xdr:cNvSpPr/>
      </xdr:nvSpPr>
      <xdr:spPr>
        <a:xfrm>
          <a:off x="2600325" y="4362450"/>
          <a:ext cx="1260000" cy="314325"/>
        </a:xfrm>
        <a:prstGeom prst="roundRect">
          <a:avLst/>
        </a:prstGeom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/>
            <a:t>Inicio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1466850</xdr:colOff>
      <xdr:row>0</xdr:row>
      <xdr:rowOff>180975</xdr:rowOff>
    </xdr:from>
    <xdr:to>
      <xdr:col>5</xdr:col>
      <xdr:colOff>561975</xdr:colOff>
      <xdr:row>2</xdr:row>
      <xdr:rowOff>19050</xdr:rowOff>
    </xdr:to>
    <xdr:sp macro="" textlink="">
      <xdr:nvSpPr>
        <xdr:cNvPr id="2" name="Rectángulo: esquinas redondeada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B94CF8D-EBE9-43CE-A0E9-E54848389036}"/>
            </a:ext>
          </a:extLst>
        </xdr:cNvPr>
        <xdr:cNvSpPr/>
      </xdr:nvSpPr>
      <xdr:spPr>
        <a:xfrm>
          <a:off x="8324850" y="180975"/>
          <a:ext cx="809625" cy="342900"/>
        </a:xfrm>
        <a:prstGeom prst="roundRect">
          <a:avLst/>
        </a:prstGeom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/>
            <a:t>Inicio</a:t>
          </a:r>
        </a:p>
      </xdr:txBody>
    </xdr:sp>
    <xdr:clientData/>
  </xdr:twoCellAnchor>
  <xdr:twoCellAnchor>
    <xdr:from>
      <xdr:col>3</xdr:col>
      <xdr:colOff>723900</xdr:colOff>
      <xdr:row>18</xdr:row>
      <xdr:rowOff>4761</xdr:rowOff>
    </xdr:from>
    <xdr:to>
      <xdr:col>6</xdr:col>
      <xdr:colOff>0</xdr:colOff>
      <xdr:row>28</xdr:row>
      <xdr:rowOff>9525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5ED1DE62-D489-5EDE-DFBE-D0E5505E43A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18</xdr:row>
      <xdr:rowOff>4761</xdr:rowOff>
    </xdr:from>
    <xdr:to>
      <xdr:col>3</xdr:col>
      <xdr:colOff>723900</xdr:colOff>
      <xdr:row>28</xdr:row>
      <xdr:rowOff>9524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21F88E6F-DC71-0B8A-F7C5-F02865CC457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2</xdr:row>
      <xdr:rowOff>233360</xdr:rowOff>
    </xdr:from>
    <xdr:to>
      <xdr:col>3</xdr:col>
      <xdr:colOff>381000</xdr:colOff>
      <xdr:row>13</xdr:row>
      <xdr:rowOff>157235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AEC42997-B8A2-1DF9-0812-01A39BA5861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371475</xdr:colOff>
      <xdr:row>2</xdr:row>
      <xdr:rowOff>228599</xdr:rowOff>
    </xdr:from>
    <xdr:to>
      <xdr:col>6</xdr:col>
      <xdr:colOff>0</xdr:colOff>
      <xdr:row>13</xdr:row>
      <xdr:rowOff>159674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C70F07B3-9294-4E49-9B2B-FEA061623B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28</xdr:row>
      <xdr:rowOff>4761</xdr:rowOff>
    </xdr:from>
    <xdr:to>
      <xdr:col>3</xdr:col>
      <xdr:colOff>257174</xdr:colOff>
      <xdr:row>41</xdr:row>
      <xdr:rowOff>180975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81B98168-2D16-E6C4-773D-BDE2F48857A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228600</xdr:colOff>
      <xdr:row>28</xdr:row>
      <xdr:rowOff>0</xdr:rowOff>
    </xdr:from>
    <xdr:to>
      <xdr:col>6</xdr:col>
      <xdr:colOff>0</xdr:colOff>
      <xdr:row>42</xdr:row>
      <xdr:rowOff>0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39A2E74-DB6E-4ABA-A102-E45EEBDE20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41</xdr:row>
      <xdr:rowOff>180976</xdr:rowOff>
    </xdr:from>
    <xdr:to>
      <xdr:col>6</xdr:col>
      <xdr:colOff>0</xdr:colOff>
      <xdr:row>58</xdr:row>
      <xdr:rowOff>9525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0695BE50-43E8-2799-A587-E793CC7AED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58</xdr:row>
      <xdr:rowOff>14287</xdr:rowOff>
    </xdr:from>
    <xdr:to>
      <xdr:col>2</xdr:col>
      <xdr:colOff>1552574</xdr:colOff>
      <xdr:row>70</xdr:row>
      <xdr:rowOff>42862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7C3EFE5D-3FB5-DE18-A638-AE8483E60E5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</xdr:col>
      <xdr:colOff>1552576</xdr:colOff>
      <xdr:row>58</xdr:row>
      <xdr:rowOff>9525</xdr:rowOff>
    </xdr:from>
    <xdr:to>
      <xdr:col>5</xdr:col>
      <xdr:colOff>1704976</xdr:colOff>
      <xdr:row>70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258CB7D-3B1E-4A36-831F-C3A3A3A5C4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70</xdr:row>
      <xdr:rowOff>33336</xdr:rowOff>
    </xdr:from>
    <xdr:to>
      <xdr:col>2</xdr:col>
      <xdr:colOff>1143000</xdr:colOff>
      <xdr:row>82</xdr:row>
      <xdr:rowOff>19049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1D516A39-FD3A-40F3-6DDC-F7C27366EE7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2</xdr:col>
      <xdr:colOff>1133475</xdr:colOff>
      <xdr:row>70</xdr:row>
      <xdr:rowOff>42862</xdr:rowOff>
    </xdr:from>
    <xdr:to>
      <xdr:col>5</xdr:col>
      <xdr:colOff>1695450</xdr:colOff>
      <xdr:row>82</xdr:row>
      <xdr:rowOff>23812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id="{E69782FE-FD4E-8C16-C026-223E4F49644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</xdr:col>
      <xdr:colOff>1171575</xdr:colOff>
      <xdr:row>83</xdr:row>
      <xdr:rowOff>85725</xdr:rowOff>
    </xdr:from>
    <xdr:to>
      <xdr:col>3</xdr:col>
      <xdr:colOff>266700</xdr:colOff>
      <xdr:row>85</xdr:row>
      <xdr:rowOff>47625</xdr:rowOff>
    </xdr:to>
    <xdr:sp macro="" textlink="">
      <xdr:nvSpPr>
        <xdr:cNvPr id="15" name="Rectángulo: esquinas redondeadas 1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C0E2F2-93AF-4213-AE0F-6B2A3F648C21}"/>
            </a:ext>
          </a:extLst>
        </xdr:cNvPr>
        <xdr:cNvSpPr/>
      </xdr:nvSpPr>
      <xdr:spPr>
        <a:xfrm>
          <a:off x="4600575" y="18659475"/>
          <a:ext cx="809625" cy="342900"/>
        </a:xfrm>
        <a:prstGeom prst="roundRect">
          <a:avLst/>
        </a:prstGeom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/>
            <a:t>Inicio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101506</xdr:rowOff>
    </xdr:from>
    <xdr:to>
      <xdr:col>9</xdr:col>
      <xdr:colOff>4668</xdr:colOff>
      <xdr:row>25</xdr:row>
      <xdr:rowOff>1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479A0D9-E3CF-F696-CC43-69464631C6D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314325</xdr:colOff>
      <xdr:row>1</xdr:row>
      <xdr:rowOff>247650</xdr:rowOff>
    </xdr:from>
    <xdr:to>
      <xdr:col>8</xdr:col>
      <xdr:colOff>409575</xdr:colOff>
      <xdr:row>3</xdr:row>
      <xdr:rowOff>38100</xdr:rowOff>
    </xdr:to>
    <xdr:sp macro="" textlink="">
      <xdr:nvSpPr>
        <xdr:cNvPr id="3" name="Rectángulo: esquinas redondeada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FE4C6CF-D206-4ADF-ACB8-58FB52D544C5}"/>
            </a:ext>
          </a:extLst>
        </xdr:cNvPr>
        <xdr:cNvSpPr/>
      </xdr:nvSpPr>
      <xdr:spPr>
        <a:xfrm>
          <a:off x="7610475" y="609600"/>
          <a:ext cx="809625" cy="276225"/>
        </a:xfrm>
        <a:prstGeom prst="roundRect">
          <a:avLst/>
        </a:prstGeom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/>
            <a:t>Inicio</a:t>
          </a:r>
        </a:p>
      </xdr:txBody>
    </xdr:sp>
    <xdr:clientData/>
  </xdr:twoCellAnchor>
  <xdr:twoCellAnchor>
    <xdr:from>
      <xdr:col>8</xdr:col>
      <xdr:colOff>704850</xdr:colOff>
      <xdr:row>1</xdr:row>
      <xdr:rowOff>0</xdr:rowOff>
    </xdr:from>
    <xdr:to>
      <xdr:col>14</xdr:col>
      <xdr:colOff>392475</xdr:colOff>
      <xdr:row>16</xdr:row>
      <xdr:rowOff>49125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4" name="Gráfico 3">
              <a:extLst>
                <a:ext uri="{FF2B5EF4-FFF2-40B4-BE49-F238E27FC236}">
                  <a16:creationId xmlns:a16="http://schemas.microsoft.com/office/drawing/2014/main" id="{4F08F762-D5ED-C870-85E1-477C24BE4B25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3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686800" y="361950"/>
              <a:ext cx="4212000" cy="32400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>
    <xdr:from>
      <xdr:col>14</xdr:col>
      <xdr:colOff>371476</xdr:colOff>
      <xdr:row>0</xdr:row>
      <xdr:rowOff>352424</xdr:rowOff>
    </xdr:from>
    <xdr:to>
      <xdr:col>20</xdr:col>
      <xdr:colOff>11476</xdr:colOff>
      <xdr:row>16</xdr:row>
      <xdr:rowOff>39599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5" name="Gráfico 4">
              <a:extLst>
                <a:ext uri="{FF2B5EF4-FFF2-40B4-BE49-F238E27FC236}">
                  <a16:creationId xmlns:a16="http://schemas.microsoft.com/office/drawing/2014/main" id="{B230DE0B-FEF4-4261-858E-9E574D1B71C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4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2877801" y="352424"/>
              <a:ext cx="4212000" cy="32400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>
    <xdr:from>
      <xdr:col>9</xdr:col>
      <xdr:colOff>1493</xdr:colOff>
      <xdr:row>16</xdr:row>
      <xdr:rowOff>7844</xdr:rowOff>
    </xdr:from>
    <xdr:to>
      <xdr:col>14</xdr:col>
      <xdr:colOff>403493</xdr:colOff>
      <xdr:row>25</xdr:row>
      <xdr:rowOff>4844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5D421E09-A891-16C1-0495-1495A8C19EA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14</xdr:col>
      <xdr:colOff>371475</xdr:colOff>
      <xdr:row>16</xdr:row>
      <xdr:rowOff>9525</xdr:rowOff>
    </xdr:from>
    <xdr:to>
      <xdr:col>20</xdr:col>
      <xdr:colOff>11475</xdr:colOff>
      <xdr:row>25</xdr:row>
      <xdr:rowOff>6525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3B2718E9-1CDA-4EA8-9834-5AEC417967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4F8E6D6-B4F8-4F24-8C52-224B5EC88D11}" name="Tabla1" displayName="Tabla1" ref="A2:AY126" totalsRowShown="0" headerRowDxfId="94" dataDxfId="93" headerRowCellStyle="Millares" dataCellStyle="Millares">
  <autoFilter ref="A2:AY126" xr:uid="{04F8E6D6-B4F8-4F24-8C52-224B5EC88D11}"/>
  <tableColumns count="51">
    <tableColumn id="1" xr3:uid="{6D5447EF-4B5F-4765-A95A-2D7EA2C91A81}" name="Código" dataDxfId="92"/>
    <tableColumn id="2" xr3:uid="{0DBADB4E-79C7-41C3-B3AA-D9C7C2C626DD}" name="Municipio " dataDxfId="91"/>
    <tableColumn id="3" xr3:uid="{04E66555-7F34-4E3D-BCCA-94497823F7E8}" name="Provincia" dataDxfId="90"/>
    <tableColumn id="4" xr3:uid="{59804A9B-8372-4656-BF2E-C5D958DF7765}" name="VA_2024" dataDxfId="89" dataCellStyle="Millares"/>
    <tableColumn id="5" xr3:uid="{4C51F802-4230-4D31-92EA-134968EB448F}" name="Mat_2024" dataDxfId="88" dataCellStyle="Millares"/>
    <tableColumn id="6" xr3:uid="{2295FECC-4D42-469C-9B60-626E5A27BF27}" name="Ren_2024" dataDxfId="87" dataCellStyle="Millares"/>
    <tableColumn id="7" xr3:uid="{E603BCFB-8B40-4566-B9EC-6A6B9A2B7B96}" name="Can_2024" dataDxfId="86" dataCellStyle="Millares"/>
    <tableColumn id="8" xr3:uid="{D81F6BB7-136C-46CB-9FDE-702FEC949F99}" name="Comf_Empresas" dataDxfId="85" dataCellStyle="Millares"/>
    <tableColumn id="9" xr3:uid="{623FFE9E-867D-44D4-AD45-C2ABAAF447AD}" name="Comf_Empleos" dataDxfId="84" dataCellStyle="Millares"/>
    <tableColumn id="49" xr3:uid="{B4900AD5-2FCE-4229-A654-2C67B3296FEF}" name="0-6años" dataDxfId="83" dataCellStyle="Millares"/>
    <tableColumn id="50" xr3:uid="{EFFA5E88-D508-4688-B7C0-E124EB223C7B}" name="7-14años" dataDxfId="82" dataCellStyle="Millares"/>
    <tableColumn id="51" xr3:uid="{6D7F025D-4DF7-4C80-8F1D-5EDF03556AC5}" name="15-17años" dataDxfId="81" dataCellStyle="Millares"/>
    <tableColumn id="39" xr3:uid="{C748DCCB-1679-41D7-8FD6-913E1EFA72A9}" name="18-26años" dataDxfId="80" dataCellStyle="Millares"/>
    <tableColumn id="47" xr3:uid="{2D7E6022-2680-4214-8B56-3F516F802C0A}" name="27-59años" dataDxfId="79" dataCellStyle="Millares"/>
    <tableColumn id="48" xr3:uid="{FD5CECC7-ED32-4ECD-A4C2-A9E28BF163A7}" name="60 o masaños" dataDxfId="78" dataCellStyle="Millares"/>
    <tableColumn id="10" xr3:uid="{65222521-2312-465B-8DD5-3ED0BF541F2D}" name="N_Hombres" dataDxfId="77" dataCellStyle="Millares"/>
    <tableColumn id="11" xr3:uid="{D707FE24-DAD0-49DB-9ECA-B7E582C3E028}" name="N_Mujeres" dataDxfId="76" dataCellStyle="Millares"/>
    <tableColumn id="12" xr3:uid="{F1AE507D-9F2B-4259-AEFF-77145CA0F66E}" name="N_Total" dataDxfId="75" dataCellStyle="Millares"/>
    <tableColumn id="13" xr3:uid="{898AE727-7A55-42F4-9A7C-B1E56FD91923}" name="Fin_Captaciones" dataDxfId="74" dataCellStyle="Millares"/>
    <tableColumn id="14" xr3:uid="{339D6E56-780F-4AA0-B809-1DE06D2B8FCD}" name="Fin_Colocaciones" dataDxfId="73" dataCellStyle="Millares"/>
    <tableColumn id="15" xr3:uid="{D4B31634-32B8-4C6E-A931-A2FA1DCC6474}" name="Fin_FINAGRO" dataDxfId="72" dataCellStyle="Millares"/>
    <tableColumn id="16" xr3:uid="{47A250D6-C8B5-4654-A1DF-BC5F08D53047}" name="Fin_BANCOLDEX" dataDxfId="71" dataCellStyle="Millares"/>
    <tableColumn id="17" xr3:uid="{D8347D48-65EC-4ED2-BE10-B86383725261}" name="ICM" dataDxfId="70" dataCellStyle="Millares"/>
    <tableColumn id="40" xr3:uid="{1C196010-6A0B-47AA-9744-B3A27DCFF433}" name="Insti" dataDxfId="69" dataCellStyle="Millares"/>
    <tableColumn id="41" xr3:uid="{EEC76C4F-71DE-4AA3-9BE5-34B241D3E02B}" name="Infra" dataDxfId="68" dataCellStyle="Millares"/>
    <tableColumn id="42" xr3:uid="{4498C99D-A477-459C-8582-34676ADF1930}" name="Sosten" dataDxfId="67" dataCellStyle="Millares"/>
    <tableColumn id="45" xr3:uid="{A21922CC-8720-4D58-91D0-10802E4E96BF}" name="Educa" dataDxfId="66" dataCellStyle="Millares"/>
    <tableColumn id="46" xr3:uid="{CBBA5918-6C23-4286-89C6-B577846DFE2C}" name="Salud" dataDxfId="65" dataCellStyle="Millares"/>
    <tableColumn id="43" xr3:uid="{987CB758-AA8E-4DE5-B4F4-26D13A4CB46C}" name="SisFin" dataDxfId="64" dataCellStyle="Millares"/>
    <tableColumn id="44" xr3:uid="{F743F330-CBA8-4F9A-8E08-87FC9932A01E}" name="Prod" dataDxfId="63" dataCellStyle="Millares"/>
    <tableColumn id="18" xr3:uid="{DC4DD527-67DF-4484-8124-F50025FDD38E}" name="Prod(ton)_2023" dataDxfId="62" dataCellStyle="Millares"/>
    <tableColumn id="19" xr3:uid="{4190A65A-34CC-4386-98E8-D42124DA2F90}" name="Bovino_2024" dataDxfId="61" dataCellStyle="Millares"/>
    <tableColumn id="20" xr3:uid="{30265DE7-5A50-4784-9C19-DD42C2DE0CFC}" name="Porcino_2021" dataDxfId="60" dataCellStyle="Millares"/>
    <tableColumn id="21" xr3:uid="{CBF260AB-71BE-4046-9382-24A3DA31E306}" name="Bufalos_2021" dataDxfId="59" dataCellStyle="Millares"/>
    <tableColumn id="22" xr3:uid="{4D2F176E-EF7F-466A-BAF1-F54766EC0F0F}" name="Equino_2021" dataDxfId="58" dataCellStyle="Millares"/>
    <tableColumn id="23" xr3:uid="{7184576F-FD96-4CE8-8551-E5B0CE660E9E}" name="Caprino_2021" dataDxfId="57" dataCellStyle="Millares"/>
    <tableColumn id="24" xr3:uid="{94AE5B37-8F42-4001-98FF-D782215EC1BE}" name="Ovino_2021" dataDxfId="56" dataCellStyle="Millares"/>
    <tableColumn id="25" xr3:uid="{9684E0CF-1486-4BCB-A551-229F2B08B158}" name="Aves_2022" dataDxfId="55" dataCellStyle="Millares"/>
    <tableColumn id="26" xr3:uid="{FF736FFF-C91E-4436-9A73-8F52C099856D}" name="ICFES_2024" dataDxfId="54" dataCellStyle="Millares"/>
    <tableColumn id="27" xr3:uid="{44256A3C-B816-4EEE-8E69-DC9C4D024749}" name="Matrículas_2024" dataDxfId="53" dataCellStyle="Millares"/>
    <tableColumn id="28" xr3:uid="{C5A3EF4E-CBE8-4CB6-B479-76F789CCE21F}" name="Establecimientos_2024" dataDxfId="52" dataCellStyle="Millares"/>
    <tableColumn id="29" xr3:uid="{D3668347-EE90-4015-9969-B6E8476B0C06}" name="IPS_2024" dataDxfId="51" dataCellStyle="Millares"/>
    <tableColumn id="30" xr3:uid="{1D441D99-C3C3-49F2-86B4-3E43590C379F}" name="Ambulancias_2024" dataDxfId="50" dataCellStyle="Millares"/>
    <tableColumn id="31" xr3:uid="{20B0FCFF-CE28-4D82-849B-25FF43A9502F}" name="Salas_2024" dataDxfId="49" dataCellStyle="Millares"/>
    <tableColumn id="32" xr3:uid="{AE07A74A-7FD5-477B-8CA6-5FAE2D68A0C3}" name="Camas_2024" dataDxfId="48" dataCellStyle="Millares"/>
    <tableColumn id="33" xr3:uid="{92B6E959-F899-4F3C-BBC8-9419530A9361}" name="Contributivo_2024" dataDxfId="47" dataCellStyle="Millares"/>
    <tableColumn id="34" xr3:uid="{632DF535-B280-4C22-8814-BC1233EAE784}" name="Especial_2024" dataDxfId="46" dataCellStyle="Millares"/>
    <tableColumn id="35" xr3:uid="{3BE167D4-B0BE-4922-8674-6E36FC91845C}" name="Subisidiado_2024" dataDxfId="45" dataCellStyle="Millares"/>
    <tableColumn id="36" xr3:uid="{82710437-F693-4E0D-9834-0404FED0214B}" name="Acueductos_2024" dataDxfId="44"/>
    <tableColumn id="37" xr3:uid="{CD9C5876-9D48-4F6C-8149-1952016A0C88}" name="Riesgo_2024" dataDxfId="43"/>
    <tableColumn id="38" xr3:uid="{4FA9F251-E0AB-4F79-917D-780700A0D03F}" name="Eventos_2024" dataDxfId="42" dataCellStyle="Millares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04CA5F7-5AE1-4997-BF76-618B2F5A8E91}" name="Tabla2" displayName="Tabla2" ref="A1:AK35" totalsRowShown="0" headerRowDxfId="41" dataDxfId="39" headerRowBorderDxfId="40" tableBorderDxfId="38" totalsRowBorderDxfId="37" headerRowCellStyle="Porcentaje 4 2 2">
  <autoFilter ref="A1:AK35" xr:uid="{E04CA5F7-5AE1-4997-BF76-618B2F5A8E91}"/>
  <tableColumns count="37">
    <tableColumn id="1" xr3:uid="{974731F9-CE3E-44D2-A905-951C308DA952}" name="Departamento" dataDxfId="36" dataCellStyle="Normal 2"/>
    <tableColumn id="2" xr3:uid="{CD0691D6-2CB0-4751-B83B-068B91F37F70}" name="PIB_2020" dataDxfId="35" dataCellStyle="Normal 2"/>
    <tableColumn id="3" xr3:uid="{0DDBA816-2F11-4D4C-A387-5778A92F7FAF}" name="PIB_2021" dataDxfId="34" dataCellStyle="Normal 2"/>
    <tableColumn id="4" xr3:uid="{E93262F8-4B6B-4EC5-A092-129CB79424BF}" name="PIB_2022" dataDxfId="33" dataCellStyle="Normal 2"/>
    <tableColumn id="5" xr3:uid="{711A008D-74B0-42AA-9933-80B79E01E3E4}" name="PIB_2023" dataDxfId="32" dataCellStyle="Normal 2"/>
    <tableColumn id="6" xr3:uid="{5386CD21-53C3-478E-BD0E-8293A5FB57CD}" name="PIB_2024" dataDxfId="31" dataCellStyle="Normal 2"/>
    <tableColumn id="7" xr3:uid="{86A500E5-F464-413E-B60B-9C147510184D}" name="PIBpc_2020" dataDxfId="30" dataCellStyle="Normal 2"/>
    <tableColumn id="8" xr3:uid="{B34CBF1A-2093-4E99-B545-7EE2731EFB6C}" name="PIBpc_2021" dataDxfId="29" dataCellStyle="Normal 2"/>
    <tableColumn id="9" xr3:uid="{9D2B8EBE-98EA-4716-A177-E45EB7087EE3}" name="PIBpc_2022" dataDxfId="28" dataCellStyle="Normal 2"/>
    <tableColumn id="10" xr3:uid="{C3588EAB-2654-48A8-9E17-740D0F47293C}" name="PIBpc_2023" dataDxfId="27" dataCellStyle="Normal 2"/>
    <tableColumn id="11" xr3:uid="{771FE66E-953E-4D12-B398-87CB7FB4F33E}" name="PIBpc_2024" dataDxfId="26" dataCellStyle="Normal 2"/>
    <tableColumn id="12" xr3:uid="{CAF264BB-315B-498A-9FCC-735BD1E31087}" name="TD_2020" dataDxfId="25" dataCellStyle="Porcentaje"/>
    <tableColumn id="13" xr3:uid="{D7D4C379-76AD-43EE-A99D-1183B0AD90E1}" name="TD_2021" dataDxfId="24" dataCellStyle="Porcentaje"/>
    <tableColumn id="14" xr3:uid="{4391173A-A8A1-4CB4-BFB4-B1367B58925B}" name="TD_2022" dataDxfId="23" dataCellStyle="Porcentaje"/>
    <tableColumn id="15" xr3:uid="{5FECF51B-70EE-4FA7-AEDE-B6232AC9D570}" name="TD_2023" dataDxfId="22" dataCellStyle="Porcentaje"/>
    <tableColumn id="16" xr3:uid="{7DCD9E45-084C-4DF5-962E-BF0F1A3E8D9A}" name="TD_2024" dataDxfId="21" dataCellStyle="Porcentaje"/>
    <tableColumn id="17" xr3:uid="{5D8B68A0-2E02-4153-A73E-8EE241264596}" name="PbM$_2021" dataDxfId="20" dataCellStyle="Porcentaje"/>
    <tableColumn id="18" xr3:uid="{DC8ABC17-9752-4068-A6BA-0B7E7A9A46EF}" name="PbM$_2022" dataDxfId="19" dataCellStyle="Porcentaje"/>
    <tableColumn id="19" xr3:uid="{173A48B5-554C-4093-A9E8-D1694FF6A3E0}" name="PbM$_2023" dataDxfId="18" dataCellStyle="Porcentaje"/>
    <tableColumn id="20" xr3:uid="{E35A2196-8977-46E9-B0B8-193E8F2D299B}" name="Gini_2021" dataDxfId="17" dataCellStyle="Porcentaje"/>
    <tableColumn id="21" xr3:uid="{8700287D-DFD6-445C-B6B7-9FBE7DB30DB0}" name="Gini_2022" dataDxfId="16" dataCellStyle="Porcentaje"/>
    <tableColumn id="22" xr3:uid="{7BCF7EF2-C2DE-48CC-86E1-81045E9F4BCE}" name="Gini_2023" dataDxfId="15" dataCellStyle="Porcentaje"/>
    <tableColumn id="23" xr3:uid="{B457F776-78B0-446D-94E9-AD77A2979927}" name="PbMd_2020" dataDxfId="14"/>
    <tableColumn id="24" xr3:uid="{04B86119-749E-4936-A4A6-20E85B644F8C}" name="PbMd_2021" dataDxfId="13"/>
    <tableColumn id="25" xr3:uid="{EB80BBFB-8884-4EA1-AB35-CCA736FDEDE4}" name="PbMd_2022" dataDxfId="12"/>
    <tableColumn id="26" xr3:uid="{02612F07-EF27-41DE-B965-C630989888F0}" name="PbMd_2023" dataDxfId="11"/>
    <tableColumn id="27" xr3:uid="{A3EE3DD3-CA85-4D53-93E0-A9C89ACC6DE1}" name="PbMd_2024" dataDxfId="10"/>
    <tableColumn id="28" xr3:uid="{535CF907-F7F9-40E2-AB39-618718115B2A}" name="ICD_2020" dataDxfId="9"/>
    <tableColumn id="29" xr3:uid="{9BAB1E07-54AE-411E-94F8-040CC43E2E00}" name="ICD_2021" dataDxfId="8"/>
    <tableColumn id="30" xr3:uid="{43794FBE-DC39-4DBA-A896-0A7D865ADABE}" name="ICD_2022" dataDxfId="7"/>
    <tableColumn id="31" xr3:uid="{751648B3-D169-4D59-A1E9-C0FE24196F1B}" name="ICD_2023" dataDxfId="6"/>
    <tableColumn id="32" xr3:uid="{B4B2A065-A706-4965-BC0B-417E8F3D5C0F}" name="ICD_2024" dataDxfId="5"/>
    <tableColumn id="33" xr3:uid="{2CF93694-1CB3-452A-A04E-FA57E2ADB8A0}" name="N_2020" dataDxfId="4"/>
    <tableColumn id="34" xr3:uid="{3EDE39FE-D6D9-4DFC-B78A-2DCD06663EE9}" name="N_2021" dataDxfId="3"/>
    <tableColumn id="35" xr3:uid="{D186119E-EADC-475E-ADB0-C80AB680FF0E}" name="N_2022" dataDxfId="2"/>
    <tableColumn id="36" xr3:uid="{B45C4A7C-3804-41CE-877E-3F1F288074A0}" name="N_2023" dataDxfId="1"/>
    <tableColumn id="37" xr3:uid="{476F2102-6B3B-4DAB-8AAC-7DB42292C738}" name="N_2024" dataDxfId="0"/>
  </tableColumns>
  <tableStyleInfo name="TableStyleLight10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4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7D3678-F23B-4A68-AD85-9896CA0BEA19}">
  <sheetPr>
    <tabColor rgb="FFEE0000"/>
  </sheetPr>
  <dimension ref="A1:L21"/>
  <sheetViews>
    <sheetView showGridLines="0" showRowColHeaders="0" showRuler="0" zoomScaleNormal="100" workbookViewId="0">
      <selection activeCell="M8" sqref="M8"/>
    </sheetView>
  </sheetViews>
  <sheetFormatPr baseColWidth="10" defaultRowHeight="15" x14ac:dyDescent="0.25"/>
  <cols>
    <col min="1" max="1" width="14.28515625" style="14" bestFit="1" customWidth="1"/>
    <col min="2" max="16384" width="11.42578125" style="14"/>
  </cols>
  <sheetData>
    <row r="1" spans="1:12" ht="28.5" x14ac:dyDescent="0.45">
      <c r="A1" s="145"/>
      <c r="B1" s="145"/>
      <c r="C1" s="145"/>
      <c r="D1" s="145"/>
      <c r="E1" s="145"/>
      <c r="F1" s="145"/>
      <c r="G1" s="145"/>
      <c r="H1" s="145"/>
      <c r="I1" s="145"/>
      <c r="J1" s="145"/>
      <c r="K1" s="141"/>
      <c r="L1" s="18"/>
    </row>
    <row r="2" spans="1:12" ht="17.25" customHeight="1" x14ac:dyDescent="0.3">
      <c r="A2" s="146"/>
      <c r="B2" s="146"/>
      <c r="C2" s="146"/>
      <c r="D2" s="146"/>
      <c r="E2" s="146"/>
      <c r="F2" s="146"/>
      <c r="G2" s="146"/>
      <c r="H2" s="146"/>
      <c r="I2" s="146"/>
      <c r="J2" s="146"/>
      <c r="K2" s="139"/>
      <c r="L2" s="15"/>
    </row>
    <row r="3" spans="1:12" ht="6" customHeight="1" x14ac:dyDescent="0.25">
      <c r="A3" s="138"/>
      <c r="B3" s="138"/>
      <c r="C3" s="138"/>
      <c r="D3" s="138"/>
      <c r="E3" s="138"/>
      <c r="F3" s="138"/>
      <c r="G3" s="138"/>
      <c r="H3" s="138"/>
      <c r="I3" s="138"/>
      <c r="J3" s="138"/>
      <c r="K3" s="136"/>
    </row>
    <row r="4" spans="1:12" ht="34.5" customHeight="1" x14ac:dyDescent="0.25">
      <c r="A4" s="147"/>
      <c r="B4" s="147"/>
      <c r="C4" s="147"/>
      <c r="D4" s="147"/>
      <c r="E4" s="147"/>
      <c r="F4" s="147"/>
      <c r="G4" s="147"/>
      <c r="H4" s="147"/>
      <c r="I4" s="147"/>
      <c r="J4" s="147"/>
      <c r="K4" s="142"/>
      <c r="L4" s="17"/>
    </row>
    <row r="5" spans="1:12" ht="7.5" customHeight="1" x14ac:dyDescent="0.25">
      <c r="A5" s="138"/>
      <c r="B5" s="138"/>
      <c r="C5" s="138"/>
      <c r="D5" s="138"/>
      <c r="E5" s="138"/>
      <c r="F5" s="138"/>
      <c r="G5" s="138"/>
      <c r="H5" s="138"/>
      <c r="I5" s="138"/>
      <c r="J5" s="138"/>
      <c r="K5" s="136"/>
    </row>
    <row r="6" spans="1:12" s="15" customFormat="1" ht="18.75" x14ac:dyDescent="0.3">
      <c r="A6" s="149"/>
      <c r="B6" s="149"/>
      <c r="C6" s="139"/>
      <c r="D6" s="139"/>
      <c r="E6" s="139"/>
      <c r="F6" s="139"/>
      <c r="G6" s="139"/>
      <c r="H6" s="139"/>
      <c r="I6" s="139"/>
      <c r="J6" s="139"/>
      <c r="K6" s="137"/>
    </row>
    <row r="7" spans="1:12" s="15" customFormat="1" ht="12.75" customHeight="1" x14ac:dyDescent="0.3">
      <c r="A7" s="140"/>
      <c r="B7" s="140"/>
      <c r="C7" s="139"/>
      <c r="D7" s="139"/>
      <c r="E7" s="139"/>
      <c r="F7" s="139"/>
      <c r="G7" s="139"/>
      <c r="H7" s="139"/>
      <c r="I7" s="139"/>
      <c r="J7" s="139"/>
      <c r="K7" s="137"/>
    </row>
    <row r="8" spans="1:12" s="15" customFormat="1" ht="9" customHeight="1" x14ac:dyDescent="0.3">
      <c r="A8" s="140"/>
      <c r="B8" s="140"/>
      <c r="C8" s="139"/>
      <c r="D8" s="139"/>
      <c r="E8" s="139"/>
      <c r="F8" s="139"/>
      <c r="G8" s="139"/>
      <c r="H8" s="139"/>
      <c r="I8" s="139"/>
      <c r="J8" s="139"/>
      <c r="K8" s="137"/>
    </row>
    <row r="9" spans="1:12" s="15" customFormat="1" ht="18.75" x14ac:dyDescent="0.3">
      <c r="A9" s="149"/>
      <c r="B9" s="149"/>
      <c r="C9" s="139"/>
      <c r="D9" s="139"/>
      <c r="E9" s="139"/>
      <c r="F9" s="139"/>
      <c r="G9" s="139"/>
      <c r="H9" s="139"/>
      <c r="I9" s="139"/>
      <c r="J9" s="139"/>
      <c r="K9" s="137"/>
    </row>
    <row r="10" spans="1:12" s="15" customFormat="1" ht="18.75" x14ac:dyDescent="0.3">
      <c r="A10" s="139"/>
      <c r="B10" s="139"/>
      <c r="C10" s="139"/>
      <c r="D10" s="139"/>
      <c r="E10" s="139"/>
      <c r="F10" s="139"/>
      <c r="G10" s="139"/>
      <c r="H10" s="139"/>
      <c r="I10" s="139"/>
      <c r="J10" s="139"/>
      <c r="K10" s="137"/>
    </row>
    <row r="11" spans="1:12" s="15" customFormat="1" ht="18.75" x14ac:dyDescent="0.3">
      <c r="A11" s="146"/>
      <c r="B11" s="146"/>
      <c r="C11" s="139"/>
      <c r="D11" s="139"/>
      <c r="E11" s="139"/>
      <c r="F11" s="139"/>
      <c r="G11" s="139"/>
      <c r="H11" s="139"/>
      <c r="I11" s="139"/>
      <c r="J11" s="139"/>
      <c r="K11" s="137"/>
    </row>
    <row r="12" spans="1:12" x14ac:dyDescent="0.25">
      <c r="A12" s="138"/>
      <c r="B12" s="138"/>
      <c r="C12" s="138"/>
      <c r="D12" s="138"/>
      <c r="E12" s="138"/>
      <c r="F12" s="138"/>
      <c r="G12" s="138"/>
      <c r="H12" s="138"/>
      <c r="I12" s="138"/>
      <c r="J12" s="138"/>
      <c r="K12" s="136"/>
    </row>
    <row r="13" spans="1:12" ht="20.25" customHeight="1" x14ac:dyDescent="0.25">
      <c r="A13" s="136"/>
      <c r="B13" s="136"/>
      <c r="C13" s="136"/>
      <c r="D13" s="136"/>
      <c r="E13" s="136"/>
      <c r="F13" s="136"/>
      <c r="G13" s="136"/>
      <c r="H13" s="136"/>
      <c r="I13" s="136"/>
      <c r="J13" s="136"/>
      <c r="K13" s="136"/>
    </row>
    <row r="14" spans="1:12" x14ac:dyDescent="0.25">
      <c r="A14" s="136"/>
      <c r="B14" s="136"/>
      <c r="C14" s="136"/>
      <c r="D14" s="136"/>
      <c r="E14" s="136"/>
      <c r="F14" s="136"/>
      <c r="G14" s="136"/>
      <c r="H14" s="136"/>
      <c r="I14" s="136"/>
      <c r="J14" s="136"/>
      <c r="K14" s="136"/>
    </row>
    <row r="15" spans="1:12" ht="19.5" customHeight="1" x14ac:dyDescent="0.25">
      <c r="A15" s="136"/>
      <c r="B15" s="136"/>
      <c r="C15" s="136"/>
      <c r="D15" s="136"/>
      <c r="E15" s="136"/>
      <c r="F15" s="136"/>
      <c r="G15" s="136"/>
      <c r="H15" s="136"/>
      <c r="I15" s="136"/>
      <c r="J15" s="136"/>
      <c r="K15" s="136"/>
    </row>
    <row r="16" spans="1:12" x14ac:dyDescent="0.25">
      <c r="A16" s="136"/>
      <c r="B16" s="136"/>
      <c r="C16" s="136"/>
      <c r="D16" s="136"/>
      <c r="E16" s="136"/>
      <c r="F16" s="136"/>
      <c r="G16" s="136"/>
      <c r="H16" s="136"/>
      <c r="I16" s="136"/>
      <c r="J16" s="136"/>
      <c r="K16" s="136"/>
    </row>
    <row r="17" spans="1:11" x14ac:dyDescent="0.25">
      <c r="A17" s="136"/>
      <c r="B17" s="136"/>
      <c r="C17" s="136"/>
      <c r="D17" s="136"/>
      <c r="E17" s="136"/>
      <c r="F17" s="136"/>
      <c r="G17" s="136"/>
      <c r="H17" s="136"/>
      <c r="I17" s="136"/>
      <c r="J17" s="136"/>
      <c r="K17" s="136"/>
    </row>
    <row r="18" spans="1:11" x14ac:dyDescent="0.25">
      <c r="A18" s="136"/>
      <c r="B18" s="136"/>
      <c r="C18" s="136"/>
      <c r="D18" s="136"/>
      <c r="E18" s="136"/>
      <c r="F18" s="136"/>
      <c r="G18" s="136"/>
      <c r="H18" s="136"/>
      <c r="I18" s="136"/>
      <c r="J18" s="136"/>
      <c r="K18" s="136"/>
    </row>
    <row r="19" spans="1:11" x14ac:dyDescent="0.25">
      <c r="A19" s="136"/>
      <c r="B19" s="136"/>
      <c r="C19" s="132"/>
      <c r="D19" s="136"/>
      <c r="E19" s="136"/>
      <c r="F19" s="136"/>
      <c r="G19" s="136"/>
      <c r="H19" s="136"/>
      <c r="I19" s="136"/>
      <c r="J19" s="136"/>
      <c r="K19" s="136"/>
    </row>
    <row r="20" spans="1:11" ht="12.75" customHeight="1" x14ac:dyDescent="0.25">
      <c r="A20" s="138"/>
      <c r="B20" s="148"/>
      <c r="C20" s="148"/>
      <c r="D20" s="148"/>
      <c r="E20" s="148"/>
      <c r="F20" s="148"/>
      <c r="G20" s="148"/>
      <c r="H20" s="148"/>
      <c r="I20" s="148"/>
      <c r="J20" s="148"/>
      <c r="K20" s="136"/>
    </row>
    <row r="21" spans="1:11" x14ac:dyDescent="0.25">
      <c r="A21" s="136"/>
      <c r="B21" s="136"/>
      <c r="C21" s="136"/>
      <c r="D21" s="136"/>
      <c r="E21" s="136"/>
      <c r="F21" s="136"/>
      <c r="G21" s="136"/>
      <c r="H21" s="136"/>
      <c r="I21" s="136"/>
      <c r="J21" s="136"/>
      <c r="K21" s="136"/>
    </row>
  </sheetData>
  <sheetProtection algorithmName="SHA-512" hashValue="Wj035W9wGu1EyJ0G8nJpWOcK6uP7ycVZSsPYQmiyiZqIF85joVD5T5nZG4Nw++NbWZWKz2fsnFhjiHG7VV6PlA==" saltValue="QoSlysguVAQweBnhR4arWw==" spinCount="100000" sheet="1" objects="1" scenarios="1" selectLockedCells="1"/>
  <mergeCells count="7">
    <mergeCell ref="A1:J1"/>
    <mergeCell ref="A2:J2"/>
    <mergeCell ref="A4:J4"/>
    <mergeCell ref="B20:J20"/>
    <mergeCell ref="A6:B6"/>
    <mergeCell ref="A9:B9"/>
    <mergeCell ref="A11:B11"/>
  </mergeCells>
  <pageMargins left="0.70866141732283472" right="0.70866141732283472" top="0.74803149606299213" bottom="0.74803149606299213" header="0.31496062992125984" footer="0.31496062992125984"/>
  <pageSetup orientation="landscape" r:id="rId1"/>
  <headerFooter>
    <oddHeader>&amp;CCámara de Comercio de Tunja, Cámara de Comercio de Duitama y Cámara de Comercio de Sogamoso</oddHeader>
    <oddFooter>Preparado por Hermes Castro &amp;D&amp;RPágina 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4F28D3-FE2F-486D-B5B4-45B7C28C3AA7}">
  <dimension ref="A1:AY126"/>
  <sheetViews>
    <sheetView workbookViewId="0">
      <pane ySplit="1" topLeftCell="A2" activePane="bottomLeft" state="frozen"/>
      <selection pane="bottomLeft" activeCell="E19" sqref="E19"/>
    </sheetView>
  </sheetViews>
  <sheetFormatPr baseColWidth="10" defaultRowHeight="11.25" x14ac:dyDescent="0.2"/>
  <cols>
    <col min="1" max="1" width="21.28515625" style="1" bestFit="1" customWidth="1"/>
    <col min="2" max="2" width="15.28515625" style="1" bestFit="1" customWidth="1"/>
    <col min="3" max="3" width="9.5703125" style="1" customWidth="1"/>
    <col min="4" max="4" width="9.5703125" style="7" customWidth="1"/>
    <col min="5" max="5" width="10.140625" style="7" customWidth="1"/>
    <col min="6" max="7" width="10" style="7" customWidth="1"/>
    <col min="8" max="8" width="15.140625" style="12" customWidth="1"/>
    <col min="9" max="9" width="14.5703125" style="12" customWidth="1"/>
    <col min="10" max="10" width="11.28515625" style="12" customWidth="1"/>
    <col min="11" max="11" width="12.140625" style="12" customWidth="1"/>
    <col min="12" max="14" width="13" style="12" customWidth="1"/>
    <col min="15" max="15" width="15.42578125" style="12" customWidth="1"/>
    <col min="16" max="16" width="12.140625" style="12" customWidth="1"/>
    <col min="17" max="17" width="11.42578125" style="12" customWidth="1"/>
    <col min="18" max="18" width="10" style="12" customWidth="1"/>
    <col min="19" max="19" width="15.28515625" style="7" customWidth="1"/>
    <col min="20" max="20" width="16" style="7" customWidth="1"/>
    <col min="21" max="21" width="14.140625" style="7" customWidth="1"/>
    <col min="22" max="22" width="17" style="7" customWidth="1"/>
    <col min="23" max="23" width="7.7109375" style="7" customWidth="1"/>
    <col min="24" max="24" width="8.5703125" style="7" customWidth="1"/>
    <col min="25" max="25" width="9" style="7" customWidth="1"/>
    <col min="26" max="26" width="10.28515625" style="7" customWidth="1"/>
    <col min="27" max="27" width="9.85546875" style="7" customWidth="1"/>
    <col min="28" max="28" width="9.42578125" style="7" customWidth="1"/>
    <col min="29" max="29" width="9.7109375" style="7" customWidth="1"/>
    <col min="30" max="30" width="9" style="7" customWidth="1"/>
    <col min="31" max="31" width="15.140625" style="7" customWidth="1"/>
    <col min="32" max="32" width="13.42578125" style="7" customWidth="1"/>
    <col min="33" max="33" width="13.85546875" style="7" customWidth="1"/>
    <col min="34" max="34" width="13.42578125" style="7" customWidth="1"/>
    <col min="35" max="35" width="13.140625" style="7" customWidth="1"/>
    <col min="36" max="36" width="13.85546875" style="7" customWidth="1"/>
    <col min="37" max="37" width="12.7109375" style="7" customWidth="1"/>
    <col min="38" max="38" width="11.85546875" style="7" customWidth="1"/>
    <col min="39" max="39" width="12.7109375" style="2" customWidth="1"/>
    <col min="40" max="40" width="15.42578125" style="2" customWidth="1"/>
    <col min="41" max="41" width="19.7109375" style="2" customWidth="1"/>
    <col min="42" max="42" width="10.85546875" style="2" customWidth="1"/>
    <col min="43" max="43" width="16.85546875" style="2" customWidth="1"/>
    <col min="44" max="44" width="11.7109375" style="2" customWidth="1"/>
    <col min="45" max="45" width="12.85546875" style="2" customWidth="1"/>
    <col min="46" max="46" width="17" style="2" customWidth="1"/>
    <col min="47" max="47" width="15" style="2" bestFit="1" customWidth="1"/>
    <col min="48" max="48" width="15.5703125" style="2" customWidth="1"/>
    <col min="49" max="49" width="14.85546875" style="1" customWidth="1"/>
    <col min="50" max="50" width="11.7109375" style="1" customWidth="1"/>
    <col min="51" max="51" width="14.7109375" style="2" bestFit="1" customWidth="1"/>
    <col min="52" max="16384" width="11.42578125" style="1"/>
  </cols>
  <sheetData>
    <row r="1" spans="1:51" ht="15" customHeight="1" x14ac:dyDescent="0.2">
      <c r="A1" s="1" t="s">
        <v>260</v>
      </c>
      <c r="B1" s="1" t="s">
        <v>0</v>
      </c>
      <c r="C1" s="1" t="s">
        <v>1</v>
      </c>
      <c r="D1" s="4" t="s">
        <v>259</v>
      </c>
      <c r="E1" s="8" t="s">
        <v>261</v>
      </c>
      <c r="F1" s="8" t="s">
        <v>262</v>
      </c>
      <c r="G1" s="8" t="s">
        <v>263</v>
      </c>
      <c r="H1" s="152" t="s">
        <v>264</v>
      </c>
      <c r="I1" s="152"/>
      <c r="J1" s="152" t="s">
        <v>276</v>
      </c>
      <c r="K1" s="152"/>
      <c r="L1" s="152"/>
      <c r="M1" s="152"/>
      <c r="N1" s="152"/>
      <c r="O1" s="152"/>
      <c r="P1" s="152"/>
      <c r="Q1" s="152"/>
      <c r="R1" s="152"/>
      <c r="S1" s="151" t="s">
        <v>267</v>
      </c>
      <c r="T1" s="151"/>
      <c r="U1" s="151"/>
      <c r="V1" s="151"/>
      <c r="W1" s="151" t="s">
        <v>292</v>
      </c>
      <c r="X1" s="151"/>
      <c r="Y1" s="151"/>
      <c r="Z1" s="151"/>
      <c r="AA1" s="151"/>
      <c r="AB1" s="151"/>
      <c r="AC1" s="151"/>
      <c r="AD1" s="151"/>
      <c r="AE1" s="151" t="s">
        <v>277</v>
      </c>
      <c r="AF1" s="151"/>
      <c r="AG1" s="151"/>
      <c r="AH1" s="151"/>
      <c r="AI1" s="151"/>
      <c r="AJ1" s="151"/>
      <c r="AK1" s="151"/>
      <c r="AL1" s="151"/>
      <c r="AM1" s="2" t="s">
        <v>266</v>
      </c>
      <c r="AN1" s="153" t="s">
        <v>265</v>
      </c>
      <c r="AO1" s="153"/>
      <c r="AP1" s="153" t="s">
        <v>268</v>
      </c>
      <c r="AQ1" s="153"/>
      <c r="AR1" s="153"/>
      <c r="AS1" s="153"/>
      <c r="AT1" s="153" t="s">
        <v>274</v>
      </c>
      <c r="AU1" s="153"/>
      <c r="AV1" s="153"/>
      <c r="AW1" s="150" t="s">
        <v>275</v>
      </c>
      <c r="AX1" s="150"/>
      <c r="AY1" s="2" t="s">
        <v>269</v>
      </c>
    </row>
    <row r="2" spans="1:51" ht="14.25" x14ac:dyDescent="0.2">
      <c r="A2" s="1" t="s">
        <v>260</v>
      </c>
      <c r="B2" s="1" t="s">
        <v>0</v>
      </c>
      <c r="C2" s="1" t="s">
        <v>1</v>
      </c>
      <c r="D2" s="5" t="s">
        <v>278</v>
      </c>
      <c r="E2" s="9" t="s">
        <v>279</v>
      </c>
      <c r="F2" s="9" t="s">
        <v>280</v>
      </c>
      <c r="G2" s="9" t="s">
        <v>281</v>
      </c>
      <c r="H2" s="12" t="s">
        <v>282</v>
      </c>
      <c r="I2" s="12" t="s">
        <v>283</v>
      </c>
      <c r="J2" s="11" t="s">
        <v>358</v>
      </c>
      <c r="K2" s="11" t="s">
        <v>359</v>
      </c>
      <c r="L2" s="11" t="s">
        <v>360</v>
      </c>
      <c r="M2" s="11" t="s">
        <v>361</v>
      </c>
      <c r="N2" s="11" t="s">
        <v>362</v>
      </c>
      <c r="O2" s="11" t="s">
        <v>363</v>
      </c>
      <c r="P2" s="12" t="s">
        <v>284</v>
      </c>
      <c r="Q2" s="12" t="s">
        <v>285</v>
      </c>
      <c r="R2" s="12" t="s">
        <v>286</v>
      </c>
      <c r="S2" s="7" t="s">
        <v>287</v>
      </c>
      <c r="T2" s="7" t="s">
        <v>288</v>
      </c>
      <c r="U2" s="7" t="s">
        <v>289</v>
      </c>
      <c r="V2" s="7" t="s">
        <v>290</v>
      </c>
      <c r="W2" s="7" t="s">
        <v>334</v>
      </c>
      <c r="X2" s="10" t="s">
        <v>341</v>
      </c>
      <c r="Y2" s="10" t="s">
        <v>342</v>
      </c>
      <c r="Z2" s="10" t="s">
        <v>343</v>
      </c>
      <c r="AA2" s="10" t="s">
        <v>344</v>
      </c>
      <c r="AB2" s="10" t="s">
        <v>268</v>
      </c>
      <c r="AC2" s="10" t="s">
        <v>345</v>
      </c>
      <c r="AD2" s="10" t="s">
        <v>346</v>
      </c>
      <c r="AE2" s="7" t="s">
        <v>291</v>
      </c>
      <c r="AF2" s="7" t="s">
        <v>293</v>
      </c>
      <c r="AG2" s="7" t="s">
        <v>294</v>
      </c>
      <c r="AH2" s="7" t="s">
        <v>295</v>
      </c>
      <c r="AI2" s="7" t="s">
        <v>296</v>
      </c>
      <c r="AJ2" s="7" t="s">
        <v>297</v>
      </c>
      <c r="AK2" s="7" t="s">
        <v>298</v>
      </c>
      <c r="AL2" s="7" t="s">
        <v>299</v>
      </c>
      <c r="AM2" s="2" t="s">
        <v>302</v>
      </c>
      <c r="AN2" s="2" t="s">
        <v>300</v>
      </c>
      <c r="AO2" s="2" t="s">
        <v>301</v>
      </c>
      <c r="AP2" s="2" t="s">
        <v>303</v>
      </c>
      <c r="AQ2" s="2" t="s">
        <v>304</v>
      </c>
      <c r="AR2" s="2" t="s">
        <v>305</v>
      </c>
      <c r="AS2" s="2" t="s">
        <v>306</v>
      </c>
      <c r="AT2" s="2" t="s">
        <v>307</v>
      </c>
      <c r="AU2" s="2" t="s">
        <v>308</v>
      </c>
      <c r="AV2" s="2" t="s">
        <v>309</v>
      </c>
      <c r="AW2" s="1" t="s">
        <v>310</v>
      </c>
      <c r="AX2" s="1" t="s">
        <v>311</v>
      </c>
      <c r="AY2" s="2" t="s">
        <v>312</v>
      </c>
    </row>
    <row r="3" spans="1:51" x14ac:dyDescent="0.2">
      <c r="A3" s="1" t="s">
        <v>3</v>
      </c>
      <c r="B3" s="1" t="s">
        <v>2</v>
      </c>
      <c r="C3" s="1" t="s">
        <v>4</v>
      </c>
      <c r="D3" s="6">
        <v>31.671751658764673</v>
      </c>
      <c r="E3" s="8">
        <v>20</v>
      </c>
      <c r="F3" s="8">
        <v>47</v>
      </c>
      <c r="G3" s="8">
        <v>6</v>
      </c>
      <c r="H3" s="12">
        <v>7</v>
      </c>
      <c r="I3" s="12">
        <v>22</v>
      </c>
      <c r="J3" s="13">
        <v>136</v>
      </c>
      <c r="K3" s="13">
        <v>175</v>
      </c>
      <c r="L3" s="13">
        <v>72</v>
      </c>
      <c r="M3" s="13">
        <v>187</v>
      </c>
      <c r="N3" s="13">
        <v>801</v>
      </c>
      <c r="O3" s="13">
        <v>677</v>
      </c>
      <c r="P3" s="12">
        <v>1079</v>
      </c>
      <c r="Q3" s="12">
        <v>969</v>
      </c>
      <c r="R3" s="12">
        <v>2048</v>
      </c>
      <c r="S3" s="7">
        <v>33305.341898780003</v>
      </c>
      <c r="T3" s="7">
        <v>154.04039055999999</v>
      </c>
      <c r="U3" s="7">
        <v>1601.9444579999999</v>
      </c>
      <c r="V3" s="7">
        <v>61.772669</v>
      </c>
      <c r="AE3" s="7">
        <v>4337.1499999999996</v>
      </c>
      <c r="AF3" s="7">
        <v>2436</v>
      </c>
      <c r="AG3" s="7">
        <v>31</v>
      </c>
      <c r="AI3" s="7">
        <v>237</v>
      </c>
      <c r="AJ3" s="7">
        <v>75</v>
      </c>
      <c r="AK3" s="7">
        <v>145</v>
      </c>
      <c r="AL3" s="7">
        <v>43235</v>
      </c>
      <c r="AM3" s="2">
        <v>260</v>
      </c>
      <c r="AN3" s="2">
        <v>199</v>
      </c>
      <c r="AO3" s="2">
        <v>1</v>
      </c>
      <c r="AP3" s="2">
        <v>1</v>
      </c>
      <c r="AQ3" s="2">
        <v>1</v>
      </c>
      <c r="AR3" s="2">
        <v>1</v>
      </c>
      <c r="AS3" s="2">
        <v>0</v>
      </c>
      <c r="AT3" s="2">
        <v>170</v>
      </c>
      <c r="AU3" s="2">
        <v>2</v>
      </c>
      <c r="AV3" s="2">
        <v>1131</v>
      </c>
      <c r="AW3" s="1">
        <v>3</v>
      </c>
      <c r="AX3" s="1" t="s">
        <v>271</v>
      </c>
      <c r="AY3" s="2">
        <v>6</v>
      </c>
    </row>
    <row r="4" spans="1:51" x14ac:dyDescent="0.2">
      <c r="A4" s="1" t="s">
        <v>6</v>
      </c>
      <c r="B4" s="1" t="s">
        <v>5</v>
      </c>
      <c r="C4" s="1" t="s">
        <v>7</v>
      </c>
      <c r="D4" s="6">
        <v>582.0747639122809</v>
      </c>
      <c r="E4" s="8">
        <v>98</v>
      </c>
      <c r="F4" s="8">
        <v>389</v>
      </c>
      <c r="G4" s="8">
        <v>11</v>
      </c>
      <c r="H4" s="12">
        <v>45</v>
      </c>
      <c r="I4" s="12">
        <v>355</v>
      </c>
      <c r="J4" s="13">
        <v>1843</v>
      </c>
      <c r="K4" s="13">
        <v>2197</v>
      </c>
      <c r="L4" s="13">
        <v>784</v>
      </c>
      <c r="M4" s="13">
        <v>2097</v>
      </c>
      <c r="N4" s="13">
        <v>6915</v>
      </c>
      <c r="O4" s="13">
        <v>2644</v>
      </c>
      <c r="P4" s="12">
        <v>8444</v>
      </c>
      <c r="Q4" s="12">
        <v>8036</v>
      </c>
      <c r="R4" s="12">
        <v>16480</v>
      </c>
      <c r="S4" s="7">
        <v>21602.758004320003</v>
      </c>
      <c r="T4" s="7">
        <v>47614.091612789998</v>
      </c>
      <c r="U4" s="7">
        <v>35963.099984</v>
      </c>
      <c r="V4" s="7">
        <v>217.16881799999999</v>
      </c>
      <c r="W4" s="7">
        <v>53</v>
      </c>
      <c r="X4" s="7">
        <v>55</v>
      </c>
      <c r="Y4" s="7">
        <v>67</v>
      </c>
      <c r="Z4" s="7">
        <v>37</v>
      </c>
      <c r="AA4" s="7">
        <v>69</v>
      </c>
      <c r="AB4" s="7">
        <v>9</v>
      </c>
      <c r="AC4" s="7">
        <v>57</v>
      </c>
      <c r="AD4" s="7">
        <v>32</v>
      </c>
      <c r="AE4" s="7">
        <v>87274.089517547865</v>
      </c>
      <c r="AF4" s="7">
        <v>17330</v>
      </c>
      <c r="AG4" s="7">
        <v>54</v>
      </c>
      <c r="AH4" s="7">
        <v>2</v>
      </c>
      <c r="AI4" s="7">
        <v>379</v>
      </c>
      <c r="AJ4" s="7">
        <v>260</v>
      </c>
      <c r="AK4" s="7">
        <v>2750</v>
      </c>
      <c r="AL4" s="7">
        <v>2000</v>
      </c>
      <c r="AM4" s="2">
        <v>242.33333333333334</v>
      </c>
      <c r="AN4" s="2">
        <v>2669</v>
      </c>
      <c r="AO4" s="2">
        <v>5</v>
      </c>
      <c r="AP4" s="2">
        <v>3</v>
      </c>
      <c r="AQ4" s="2">
        <v>2</v>
      </c>
      <c r="AR4" s="2">
        <v>2</v>
      </c>
      <c r="AS4" s="2">
        <v>7</v>
      </c>
      <c r="AT4" s="2">
        <v>927</v>
      </c>
      <c r="AU4" s="2">
        <v>29</v>
      </c>
      <c r="AV4" s="2">
        <v>12552</v>
      </c>
      <c r="AW4" s="1">
        <v>7</v>
      </c>
      <c r="AX4" s="1" t="s">
        <v>271</v>
      </c>
      <c r="AY4" s="2">
        <v>19</v>
      </c>
    </row>
    <row r="5" spans="1:51" x14ac:dyDescent="0.2">
      <c r="A5" s="1" t="s">
        <v>9</v>
      </c>
      <c r="B5" s="1" t="s">
        <v>8</v>
      </c>
      <c r="C5" s="1" t="s">
        <v>10</v>
      </c>
      <c r="D5" s="6">
        <v>197.1891344367358</v>
      </c>
      <c r="E5" s="8">
        <v>55</v>
      </c>
      <c r="F5" s="8">
        <v>256</v>
      </c>
      <c r="G5" s="8">
        <v>48</v>
      </c>
      <c r="H5" s="12">
        <v>52</v>
      </c>
      <c r="I5" s="12">
        <v>293</v>
      </c>
      <c r="J5" s="13">
        <v>661</v>
      </c>
      <c r="K5" s="13">
        <v>808</v>
      </c>
      <c r="L5" s="13">
        <v>306</v>
      </c>
      <c r="M5" s="13">
        <v>889</v>
      </c>
      <c r="N5" s="13">
        <v>2666</v>
      </c>
      <c r="O5" s="13">
        <v>1011</v>
      </c>
      <c r="P5" s="12">
        <v>3171</v>
      </c>
      <c r="Q5" s="12">
        <v>3170</v>
      </c>
      <c r="R5" s="12">
        <v>6341</v>
      </c>
      <c r="S5" s="7">
        <v>276411.86834182998</v>
      </c>
      <c r="T5" s="7">
        <v>26679.389918350003</v>
      </c>
      <c r="U5" s="7">
        <v>8464.5601189999998</v>
      </c>
      <c r="V5" s="7">
        <v>124.56538999999999</v>
      </c>
      <c r="AE5" s="7">
        <v>66302.743592143641</v>
      </c>
      <c r="AF5" s="7">
        <v>9506</v>
      </c>
      <c r="AG5" s="7">
        <v>457</v>
      </c>
      <c r="AH5" s="7">
        <v>25</v>
      </c>
      <c r="AI5" s="7">
        <v>370</v>
      </c>
      <c r="AJ5" s="7">
        <v>240</v>
      </c>
      <c r="AK5" s="7">
        <v>350</v>
      </c>
      <c r="AL5" s="7">
        <v>231760</v>
      </c>
      <c r="AM5" s="2">
        <v>256</v>
      </c>
      <c r="AN5" s="2">
        <v>1011</v>
      </c>
      <c r="AO5" s="2">
        <v>1</v>
      </c>
      <c r="AP5" s="2">
        <v>4</v>
      </c>
      <c r="AQ5" s="2">
        <v>1</v>
      </c>
      <c r="AR5" s="2">
        <v>2</v>
      </c>
      <c r="AS5" s="2">
        <v>0</v>
      </c>
      <c r="AT5" s="2">
        <v>967</v>
      </c>
      <c r="AU5" s="2">
        <v>5</v>
      </c>
      <c r="AV5" s="2">
        <v>3668</v>
      </c>
      <c r="AW5" s="1">
        <v>5</v>
      </c>
      <c r="AX5" s="1" t="s">
        <v>271</v>
      </c>
      <c r="AY5" s="2">
        <v>2</v>
      </c>
    </row>
    <row r="6" spans="1:51" x14ac:dyDescent="0.2">
      <c r="A6" s="1" t="s">
        <v>12</v>
      </c>
      <c r="B6" s="1" t="s">
        <v>11</v>
      </c>
      <c r="C6" s="1" t="s">
        <v>13</v>
      </c>
      <c r="D6" s="6">
        <v>143.4216931518117</v>
      </c>
      <c r="E6" s="8">
        <v>64</v>
      </c>
      <c r="F6" s="8">
        <v>408</v>
      </c>
      <c r="G6" s="8">
        <v>40</v>
      </c>
      <c r="H6" s="12">
        <v>85</v>
      </c>
      <c r="I6" s="12">
        <v>493</v>
      </c>
      <c r="J6" s="13">
        <v>709</v>
      </c>
      <c r="K6" s="13">
        <v>970</v>
      </c>
      <c r="L6" s="13">
        <v>377</v>
      </c>
      <c r="M6" s="13">
        <v>1025</v>
      </c>
      <c r="N6" s="13">
        <v>3263</v>
      </c>
      <c r="O6" s="13">
        <v>1643</v>
      </c>
      <c r="P6" s="12">
        <v>3826</v>
      </c>
      <c r="Q6" s="12">
        <v>4161</v>
      </c>
      <c r="R6" s="12">
        <v>7987</v>
      </c>
      <c r="S6" s="7">
        <v>61876.078823620002</v>
      </c>
      <c r="T6" s="7">
        <v>43310.13089488</v>
      </c>
      <c r="U6" s="7">
        <v>11682.20386</v>
      </c>
      <c r="V6" s="7">
        <v>685.01691200000005</v>
      </c>
      <c r="AE6" s="7">
        <v>13083.744979312043</v>
      </c>
      <c r="AF6" s="7">
        <v>15814</v>
      </c>
      <c r="AG6" s="7">
        <v>2.46</v>
      </c>
      <c r="AI6" s="7">
        <v>595</v>
      </c>
      <c r="AJ6" s="7">
        <v>90</v>
      </c>
      <c r="AK6" s="7">
        <v>650</v>
      </c>
      <c r="AL6" s="7">
        <v>2850</v>
      </c>
      <c r="AM6" s="2">
        <v>267.5</v>
      </c>
      <c r="AN6" s="2">
        <v>1500</v>
      </c>
      <c r="AO6" s="2">
        <v>4</v>
      </c>
      <c r="AP6" s="2">
        <v>7</v>
      </c>
      <c r="AQ6" s="2">
        <v>2</v>
      </c>
      <c r="AR6" s="2">
        <v>1</v>
      </c>
      <c r="AS6" s="2">
        <v>0</v>
      </c>
      <c r="AT6" s="2">
        <v>1789</v>
      </c>
      <c r="AU6" s="2">
        <v>19</v>
      </c>
      <c r="AV6" s="2">
        <v>4777</v>
      </c>
      <c r="AW6" s="1">
        <v>4</v>
      </c>
      <c r="AX6" s="1" t="s">
        <v>271</v>
      </c>
      <c r="AY6" s="2">
        <v>1</v>
      </c>
    </row>
    <row r="7" spans="1:51" x14ac:dyDescent="0.2">
      <c r="A7" s="1" t="s">
        <v>15</v>
      </c>
      <c r="B7" s="1" t="s">
        <v>14</v>
      </c>
      <c r="C7" s="1" t="s">
        <v>16</v>
      </c>
      <c r="D7" s="6">
        <v>39.597864281791111</v>
      </c>
      <c r="E7" s="8">
        <v>12</v>
      </c>
      <c r="F7" s="8">
        <v>32</v>
      </c>
      <c r="G7" s="8">
        <v>0</v>
      </c>
      <c r="H7" s="12">
        <v>7</v>
      </c>
      <c r="I7" s="12">
        <v>24</v>
      </c>
      <c r="J7" s="13">
        <v>139</v>
      </c>
      <c r="K7" s="13">
        <v>181</v>
      </c>
      <c r="L7" s="13">
        <v>70</v>
      </c>
      <c r="M7" s="13">
        <v>158</v>
      </c>
      <c r="N7" s="13">
        <v>659</v>
      </c>
      <c r="O7" s="13">
        <v>493</v>
      </c>
      <c r="P7" s="12">
        <v>852</v>
      </c>
      <c r="Q7" s="12">
        <v>848</v>
      </c>
      <c r="R7" s="12">
        <v>1700</v>
      </c>
      <c r="S7" s="7">
        <v>12599.647843470002</v>
      </c>
      <c r="T7" s="7">
        <v>69.583910689999996</v>
      </c>
      <c r="U7" s="7">
        <v>1983.993473</v>
      </c>
      <c r="V7" s="7">
        <v>11.403339000000001</v>
      </c>
      <c r="AE7" s="7">
        <v>2983.6004195804198</v>
      </c>
      <c r="AF7" s="7">
        <v>4164</v>
      </c>
      <c r="AG7" s="7">
        <v>59</v>
      </c>
      <c r="AI7" s="7">
        <v>315</v>
      </c>
      <c r="AJ7" s="7">
        <v>20</v>
      </c>
      <c r="AK7" s="7">
        <v>120</v>
      </c>
      <c r="AL7" s="7">
        <v>1550</v>
      </c>
      <c r="AM7" s="2">
        <v>277</v>
      </c>
      <c r="AN7" s="2">
        <v>201</v>
      </c>
      <c r="AO7" s="2">
        <v>1</v>
      </c>
      <c r="AP7" s="2">
        <v>1</v>
      </c>
      <c r="AQ7" s="2">
        <v>1</v>
      </c>
      <c r="AR7" s="2">
        <v>1</v>
      </c>
      <c r="AS7" s="2">
        <v>0</v>
      </c>
      <c r="AT7" s="2">
        <v>181</v>
      </c>
      <c r="AV7" s="2">
        <v>1106</v>
      </c>
      <c r="AW7" s="1">
        <v>3</v>
      </c>
      <c r="AX7" s="1" t="s">
        <v>272</v>
      </c>
    </row>
    <row r="8" spans="1:51" x14ac:dyDescent="0.2">
      <c r="A8" s="1" t="s">
        <v>18</v>
      </c>
      <c r="B8" s="1" t="s">
        <v>17</v>
      </c>
      <c r="C8" s="1" t="s">
        <v>19</v>
      </c>
      <c r="D8" s="6">
        <v>42.393122248715898</v>
      </c>
      <c r="E8" s="8">
        <v>6</v>
      </c>
      <c r="F8" s="8">
        <v>41</v>
      </c>
      <c r="G8" s="8">
        <v>3</v>
      </c>
      <c r="H8" s="12">
        <v>5</v>
      </c>
      <c r="I8" s="12">
        <v>25</v>
      </c>
      <c r="J8" s="13">
        <v>170</v>
      </c>
      <c r="K8" s="13">
        <v>202</v>
      </c>
      <c r="L8" s="13">
        <v>80</v>
      </c>
      <c r="M8" s="13">
        <v>280</v>
      </c>
      <c r="N8" s="13">
        <v>769</v>
      </c>
      <c r="O8" s="13">
        <v>568</v>
      </c>
      <c r="P8" s="12">
        <v>1015</v>
      </c>
      <c r="Q8" s="12">
        <v>1054</v>
      </c>
      <c r="R8" s="12">
        <v>2069</v>
      </c>
      <c r="S8" s="7">
        <v>32857.066284100001</v>
      </c>
      <c r="T8" s="7">
        <v>27.334466930000001</v>
      </c>
      <c r="U8" s="7">
        <v>1720.2772580000001</v>
      </c>
      <c r="V8" s="7">
        <v>0</v>
      </c>
      <c r="AE8" s="7">
        <v>2023.2979026074513</v>
      </c>
      <c r="AF8" s="7">
        <v>3115</v>
      </c>
      <c r="AG8" s="7">
        <v>260</v>
      </c>
      <c r="AH8" s="7">
        <v>7</v>
      </c>
      <c r="AI8" s="7">
        <v>370</v>
      </c>
      <c r="AJ8" s="7">
        <v>450</v>
      </c>
      <c r="AK8" s="7">
        <v>2310</v>
      </c>
      <c r="AL8" s="7">
        <v>5580</v>
      </c>
      <c r="AM8" s="2">
        <v>271</v>
      </c>
      <c r="AN8" s="2">
        <v>210</v>
      </c>
      <c r="AO8" s="2">
        <v>2</v>
      </c>
      <c r="AP8" s="2">
        <v>1</v>
      </c>
      <c r="AQ8" s="2">
        <v>1</v>
      </c>
      <c r="AR8" s="2">
        <v>0</v>
      </c>
      <c r="AS8" s="2">
        <v>0</v>
      </c>
      <c r="AT8" s="2">
        <v>302</v>
      </c>
      <c r="AU8" s="2">
        <v>3</v>
      </c>
      <c r="AV8" s="2">
        <v>930</v>
      </c>
      <c r="AW8" s="1">
        <v>3</v>
      </c>
      <c r="AX8" s="1" t="s">
        <v>271</v>
      </c>
      <c r="AY8" s="2">
        <v>6</v>
      </c>
    </row>
    <row r="9" spans="1:51" x14ac:dyDescent="0.2">
      <c r="A9" s="1" t="s">
        <v>21</v>
      </c>
      <c r="B9" s="1" t="s">
        <v>20</v>
      </c>
      <c r="C9" s="1" t="s">
        <v>22</v>
      </c>
      <c r="D9" s="6">
        <v>126.89702274766893</v>
      </c>
      <c r="E9" s="8">
        <v>34</v>
      </c>
      <c r="F9" s="8">
        <v>229</v>
      </c>
      <c r="G9" s="8">
        <v>26</v>
      </c>
      <c r="H9" s="12">
        <v>27</v>
      </c>
      <c r="I9" s="12">
        <v>374</v>
      </c>
      <c r="J9" s="13">
        <v>436</v>
      </c>
      <c r="K9" s="13">
        <v>635</v>
      </c>
      <c r="L9" s="13">
        <v>239</v>
      </c>
      <c r="M9" s="13">
        <v>592</v>
      </c>
      <c r="N9" s="13">
        <v>2030</v>
      </c>
      <c r="O9" s="13">
        <v>1490</v>
      </c>
      <c r="P9" s="12">
        <v>2718</v>
      </c>
      <c r="Q9" s="12">
        <v>2704</v>
      </c>
      <c r="R9" s="12">
        <v>5422</v>
      </c>
      <c r="S9" s="7">
        <v>25020.059630569998</v>
      </c>
      <c r="T9" s="7">
        <v>9312.1283158200004</v>
      </c>
      <c r="U9" s="7">
        <v>3387.581897</v>
      </c>
      <c r="V9" s="7">
        <v>97.569430999999994</v>
      </c>
      <c r="AE9" s="7">
        <v>11729.387256388472</v>
      </c>
      <c r="AF9" s="7">
        <v>8176</v>
      </c>
      <c r="AG9" s="7">
        <v>414</v>
      </c>
      <c r="AH9" s="7">
        <v>6</v>
      </c>
      <c r="AI9" s="7">
        <v>362</v>
      </c>
      <c r="AJ9" s="7">
        <v>3150</v>
      </c>
      <c r="AK9" s="7">
        <v>1500</v>
      </c>
      <c r="AL9" s="7">
        <v>7300</v>
      </c>
      <c r="AM9" s="2">
        <v>276</v>
      </c>
      <c r="AN9" s="2">
        <v>869</v>
      </c>
      <c r="AO9" s="2">
        <v>3</v>
      </c>
      <c r="AP9" s="2">
        <v>2</v>
      </c>
      <c r="AQ9" s="2">
        <v>1</v>
      </c>
      <c r="AR9" s="2">
        <v>0</v>
      </c>
      <c r="AS9" s="2">
        <v>0</v>
      </c>
      <c r="AT9" s="2">
        <v>604</v>
      </c>
      <c r="AU9" s="2">
        <v>51</v>
      </c>
      <c r="AV9" s="2">
        <v>3515</v>
      </c>
      <c r="AW9" s="1">
        <v>3</v>
      </c>
      <c r="AX9" s="1" t="s">
        <v>271</v>
      </c>
      <c r="AY9" s="2">
        <v>3</v>
      </c>
    </row>
    <row r="10" spans="1:51" x14ac:dyDescent="0.2">
      <c r="A10" s="1" t="s">
        <v>24</v>
      </c>
      <c r="B10" s="1" t="s">
        <v>23</v>
      </c>
      <c r="C10" s="1" t="s">
        <v>25</v>
      </c>
      <c r="D10" s="6">
        <v>192.93937600574793</v>
      </c>
      <c r="E10" s="8">
        <v>28</v>
      </c>
      <c r="F10" s="8">
        <v>74</v>
      </c>
      <c r="G10" s="8">
        <v>13</v>
      </c>
      <c r="H10" s="12">
        <v>36</v>
      </c>
      <c r="I10" s="12">
        <v>118</v>
      </c>
      <c r="J10" s="13">
        <v>502</v>
      </c>
      <c r="K10" s="13">
        <v>671</v>
      </c>
      <c r="L10" s="13">
        <v>254</v>
      </c>
      <c r="M10" s="13">
        <v>640</v>
      </c>
      <c r="N10" s="13">
        <v>2134</v>
      </c>
      <c r="O10" s="13">
        <v>1247</v>
      </c>
      <c r="P10" s="12">
        <v>2841</v>
      </c>
      <c r="Q10" s="12">
        <v>2607</v>
      </c>
      <c r="R10" s="12">
        <v>5448</v>
      </c>
      <c r="S10" s="7">
        <v>12096.601206520001</v>
      </c>
      <c r="T10" s="7">
        <v>218.11598165999999</v>
      </c>
      <c r="U10" s="7">
        <v>5617.2004779999997</v>
      </c>
      <c r="V10" s="7">
        <v>18.640563</v>
      </c>
      <c r="AE10" s="7">
        <v>15959.628037383178</v>
      </c>
      <c r="AF10" s="7">
        <v>5367</v>
      </c>
      <c r="AG10" s="7">
        <v>62</v>
      </c>
      <c r="AI10" s="7">
        <v>310</v>
      </c>
      <c r="AJ10" s="7">
        <v>48</v>
      </c>
      <c r="AK10" s="7">
        <v>250</v>
      </c>
      <c r="AL10" s="7">
        <v>2450</v>
      </c>
      <c r="AM10" s="2">
        <v>261.5</v>
      </c>
      <c r="AN10" s="2">
        <v>711</v>
      </c>
      <c r="AO10" s="2">
        <v>2</v>
      </c>
      <c r="AP10" s="2">
        <v>1</v>
      </c>
      <c r="AQ10" s="2">
        <v>1</v>
      </c>
      <c r="AR10" s="2">
        <v>1</v>
      </c>
      <c r="AS10" s="2">
        <v>0</v>
      </c>
      <c r="AT10" s="2">
        <v>664</v>
      </c>
      <c r="AU10" s="2">
        <v>6</v>
      </c>
      <c r="AV10" s="2">
        <v>3879</v>
      </c>
      <c r="AW10" s="1">
        <v>8</v>
      </c>
      <c r="AX10" s="1" t="s">
        <v>271</v>
      </c>
      <c r="AY10" s="2">
        <v>6</v>
      </c>
    </row>
    <row r="11" spans="1:51" x14ac:dyDescent="0.2">
      <c r="A11" s="1" t="s">
        <v>27</v>
      </c>
      <c r="B11" s="1" t="s">
        <v>26</v>
      </c>
      <c r="C11" s="1" t="s">
        <v>28</v>
      </c>
      <c r="D11" s="6">
        <v>115.67734446665236</v>
      </c>
      <c r="E11" s="8">
        <v>17</v>
      </c>
      <c r="F11" s="8">
        <v>53</v>
      </c>
      <c r="G11" s="8">
        <v>8</v>
      </c>
      <c r="H11" s="12">
        <v>6</v>
      </c>
      <c r="I11" s="12">
        <v>27</v>
      </c>
      <c r="J11" s="13">
        <v>193</v>
      </c>
      <c r="K11" s="13">
        <v>283</v>
      </c>
      <c r="L11" s="13">
        <v>107</v>
      </c>
      <c r="M11" s="13">
        <v>254</v>
      </c>
      <c r="N11" s="13">
        <v>932</v>
      </c>
      <c r="O11" s="13">
        <v>548</v>
      </c>
      <c r="P11" s="12">
        <v>1261</v>
      </c>
      <c r="Q11" s="12">
        <v>1056</v>
      </c>
      <c r="R11" s="12">
        <v>2317</v>
      </c>
      <c r="S11" s="7">
        <v>122.45968721999999</v>
      </c>
      <c r="T11" s="7">
        <v>27.554534459999999</v>
      </c>
      <c r="U11" s="7">
        <v>2347.360271</v>
      </c>
      <c r="V11" s="7">
        <v>30</v>
      </c>
      <c r="AE11" s="7">
        <v>16188.98</v>
      </c>
      <c r="AF11" s="7">
        <v>2547</v>
      </c>
      <c r="AG11" s="7">
        <v>337</v>
      </c>
      <c r="AH11" s="7">
        <v>2</v>
      </c>
      <c r="AI11" s="7">
        <v>279</v>
      </c>
      <c r="AJ11" s="7">
        <v>20</v>
      </c>
      <c r="AL11" s="7">
        <v>7500</v>
      </c>
      <c r="AM11" s="2">
        <v>264</v>
      </c>
      <c r="AN11" s="2">
        <v>366</v>
      </c>
      <c r="AO11" s="2">
        <v>1</v>
      </c>
      <c r="AP11" s="2">
        <v>1</v>
      </c>
      <c r="AQ11" s="2">
        <v>2</v>
      </c>
      <c r="AR11" s="2">
        <v>1</v>
      </c>
      <c r="AS11" s="2">
        <v>0</v>
      </c>
      <c r="AT11" s="2">
        <v>195</v>
      </c>
      <c r="AU11" s="2">
        <v>8</v>
      </c>
      <c r="AV11" s="2">
        <v>1714</v>
      </c>
      <c r="AW11" s="1">
        <v>4</v>
      </c>
      <c r="AX11" s="1" t="s">
        <v>271</v>
      </c>
    </row>
    <row r="12" spans="1:51" x14ac:dyDescent="0.2">
      <c r="A12" s="1" t="s">
        <v>30</v>
      </c>
      <c r="B12" s="1" t="s">
        <v>29</v>
      </c>
      <c r="C12" s="1" t="s">
        <v>28</v>
      </c>
      <c r="D12" s="6">
        <v>131.72577025623664</v>
      </c>
      <c r="E12" s="8">
        <v>29</v>
      </c>
      <c r="F12" s="8">
        <v>131</v>
      </c>
      <c r="G12" s="8">
        <v>19</v>
      </c>
      <c r="H12" s="12">
        <v>10</v>
      </c>
      <c r="I12" s="12">
        <v>36</v>
      </c>
      <c r="J12" s="13">
        <v>377</v>
      </c>
      <c r="K12" s="13">
        <v>562</v>
      </c>
      <c r="L12" s="13">
        <v>205</v>
      </c>
      <c r="M12" s="13">
        <v>444</v>
      </c>
      <c r="N12" s="13">
        <v>1990</v>
      </c>
      <c r="O12" s="13">
        <v>1110</v>
      </c>
      <c r="P12" s="12">
        <v>2440</v>
      </c>
      <c r="Q12" s="12">
        <v>2248</v>
      </c>
      <c r="R12" s="12">
        <v>4688</v>
      </c>
      <c r="S12" s="7">
        <v>11704.14983532</v>
      </c>
      <c r="T12" s="7">
        <v>181.33875476999998</v>
      </c>
      <c r="U12" s="7">
        <v>4440.6923379999998</v>
      </c>
      <c r="V12" s="7">
        <v>53.62</v>
      </c>
      <c r="AE12" s="7">
        <v>21839.954345467617</v>
      </c>
      <c r="AF12" s="7">
        <v>6496</v>
      </c>
      <c r="AG12" s="7">
        <v>377</v>
      </c>
      <c r="AH12" s="7">
        <v>16</v>
      </c>
      <c r="AI12" s="7">
        <v>2350</v>
      </c>
      <c r="AJ12" s="7">
        <v>40</v>
      </c>
      <c r="AK12" s="7">
        <v>74</v>
      </c>
      <c r="AL12" s="7">
        <v>520</v>
      </c>
      <c r="AM12" s="2">
        <v>251</v>
      </c>
      <c r="AN12" s="2">
        <v>678</v>
      </c>
      <c r="AO12" s="2">
        <v>2</v>
      </c>
      <c r="AP12" s="2">
        <v>1</v>
      </c>
      <c r="AQ12" s="2">
        <v>1</v>
      </c>
      <c r="AR12" s="2">
        <v>1</v>
      </c>
      <c r="AS12" s="2">
        <v>0</v>
      </c>
      <c r="AT12" s="2">
        <v>337</v>
      </c>
      <c r="AU12" s="2">
        <v>8</v>
      </c>
      <c r="AV12" s="2">
        <v>3640</v>
      </c>
      <c r="AW12" s="1">
        <v>6</v>
      </c>
      <c r="AX12" s="1" t="s">
        <v>272</v>
      </c>
      <c r="AY12" s="2">
        <v>2</v>
      </c>
    </row>
    <row r="13" spans="1:51" x14ac:dyDescent="0.2">
      <c r="A13" s="1" t="s">
        <v>32</v>
      </c>
      <c r="B13" s="1" t="s">
        <v>31</v>
      </c>
      <c r="C13" s="1" t="s">
        <v>13</v>
      </c>
      <c r="D13" s="6">
        <v>18.591597497458757</v>
      </c>
      <c r="E13" s="8">
        <v>5</v>
      </c>
      <c r="F13" s="8">
        <v>24</v>
      </c>
      <c r="G13" s="8">
        <v>1</v>
      </c>
      <c r="H13" s="12">
        <v>2</v>
      </c>
      <c r="I13" s="12">
        <v>12</v>
      </c>
      <c r="J13" s="13">
        <v>152</v>
      </c>
      <c r="K13" s="13">
        <v>119</v>
      </c>
      <c r="L13" s="13">
        <v>42</v>
      </c>
      <c r="M13" s="13">
        <v>149</v>
      </c>
      <c r="N13" s="13">
        <v>472</v>
      </c>
      <c r="O13" s="13">
        <v>266</v>
      </c>
      <c r="P13" s="12">
        <v>600</v>
      </c>
      <c r="Q13" s="12">
        <v>600</v>
      </c>
      <c r="R13" s="12">
        <v>1200</v>
      </c>
      <c r="S13" s="7">
        <v>272.76854519</v>
      </c>
      <c r="T13" s="7">
        <v>15.239599929999999</v>
      </c>
      <c r="U13" s="7">
        <v>569.30179199999998</v>
      </c>
      <c r="V13" s="7">
        <v>1</v>
      </c>
      <c r="AE13" s="7">
        <v>118.70425628545379</v>
      </c>
      <c r="AF13" s="7">
        <v>738</v>
      </c>
      <c r="AG13" s="7">
        <v>20</v>
      </c>
      <c r="AI13" s="7">
        <v>3400</v>
      </c>
      <c r="AJ13" s="7">
        <v>23</v>
      </c>
      <c r="AK13" s="7">
        <v>510</v>
      </c>
      <c r="AL13" s="7">
        <v>17150</v>
      </c>
      <c r="AM13" s="2">
        <v>250</v>
      </c>
      <c r="AN13" s="2">
        <v>132</v>
      </c>
      <c r="AO13" s="2">
        <v>1</v>
      </c>
      <c r="AP13" s="2">
        <v>1</v>
      </c>
      <c r="AQ13" s="2">
        <v>1</v>
      </c>
      <c r="AR13" s="2">
        <v>1</v>
      </c>
      <c r="AS13" s="2">
        <v>0</v>
      </c>
      <c r="AT13" s="2">
        <v>375</v>
      </c>
      <c r="AU13" s="2">
        <v>2</v>
      </c>
      <c r="AV13" s="2">
        <v>514</v>
      </c>
      <c r="AW13" s="1">
        <v>2</v>
      </c>
      <c r="AX13" s="1" t="s">
        <v>270</v>
      </c>
      <c r="AY13" s="2">
        <v>1</v>
      </c>
    </row>
    <row r="14" spans="1:51" x14ac:dyDescent="0.2">
      <c r="A14" s="1" t="s">
        <v>34</v>
      </c>
      <c r="B14" s="1" t="s">
        <v>33</v>
      </c>
      <c r="C14" s="1" t="s">
        <v>28</v>
      </c>
      <c r="D14" s="6">
        <v>64.992463011882279</v>
      </c>
      <c r="E14" s="8">
        <v>20</v>
      </c>
      <c r="F14" s="8">
        <v>70</v>
      </c>
      <c r="G14" s="8">
        <v>8</v>
      </c>
      <c r="H14" s="12">
        <v>10</v>
      </c>
      <c r="I14" s="12">
        <v>36</v>
      </c>
      <c r="J14" s="13">
        <v>272</v>
      </c>
      <c r="K14" s="13">
        <v>389</v>
      </c>
      <c r="L14" s="13">
        <v>152</v>
      </c>
      <c r="M14" s="13">
        <v>368</v>
      </c>
      <c r="N14" s="13">
        <v>1345</v>
      </c>
      <c r="O14" s="13">
        <v>809</v>
      </c>
      <c r="P14" s="12">
        <v>1653</v>
      </c>
      <c r="Q14" s="12">
        <v>1682</v>
      </c>
      <c r="R14" s="12">
        <v>3335</v>
      </c>
      <c r="S14" s="7">
        <v>11510.374843850001</v>
      </c>
      <c r="T14" s="7">
        <v>220.75281532</v>
      </c>
      <c r="U14" s="7">
        <v>5429.5404859999999</v>
      </c>
      <c r="V14" s="7">
        <v>11.930008000000001</v>
      </c>
      <c r="AE14" s="7">
        <v>9365.812593948107</v>
      </c>
      <c r="AF14" s="7">
        <v>10790</v>
      </c>
      <c r="AG14" s="7">
        <v>317</v>
      </c>
      <c r="AH14" s="7">
        <v>1</v>
      </c>
      <c r="AI14" s="7">
        <v>570</v>
      </c>
      <c r="AJ14" s="7">
        <v>58</v>
      </c>
      <c r="AK14" s="7">
        <v>450</v>
      </c>
      <c r="AL14" s="7">
        <v>560</v>
      </c>
      <c r="AM14" s="2">
        <v>248</v>
      </c>
      <c r="AN14" s="2">
        <v>382</v>
      </c>
      <c r="AO14" s="2">
        <v>2</v>
      </c>
      <c r="AP14" s="2">
        <v>1</v>
      </c>
      <c r="AQ14" s="2">
        <v>1</v>
      </c>
      <c r="AR14" s="2">
        <v>1</v>
      </c>
      <c r="AS14" s="2">
        <v>0</v>
      </c>
      <c r="AT14" s="2">
        <v>238</v>
      </c>
      <c r="AU14" s="2">
        <v>2</v>
      </c>
      <c r="AV14" s="2">
        <v>2094</v>
      </c>
      <c r="AW14" s="1">
        <v>7</v>
      </c>
      <c r="AX14" s="1" t="s">
        <v>272</v>
      </c>
      <c r="AY14" s="2">
        <v>1</v>
      </c>
    </row>
    <row r="15" spans="1:51" x14ac:dyDescent="0.2">
      <c r="A15" s="1" t="s">
        <v>36</v>
      </c>
      <c r="B15" s="1" t="s">
        <v>35</v>
      </c>
      <c r="C15" s="1" t="s">
        <v>16</v>
      </c>
      <c r="D15" s="6">
        <v>59.578911016352976</v>
      </c>
      <c r="E15" s="8">
        <v>17</v>
      </c>
      <c r="F15" s="8">
        <v>63</v>
      </c>
      <c r="G15" s="8">
        <v>13</v>
      </c>
      <c r="H15" s="12">
        <v>8</v>
      </c>
      <c r="I15" s="12">
        <v>41</v>
      </c>
      <c r="J15" s="13">
        <v>370</v>
      </c>
      <c r="K15" s="13">
        <v>423</v>
      </c>
      <c r="L15" s="13">
        <v>146</v>
      </c>
      <c r="M15" s="13">
        <v>380</v>
      </c>
      <c r="N15" s="13">
        <v>1240</v>
      </c>
      <c r="O15" s="13">
        <v>740</v>
      </c>
      <c r="P15" s="12">
        <v>1682</v>
      </c>
      <c r="Q15" s="12">
        <v>1617</v>
      </c>
      <c r="R15" s="12">
        <v>3299</v>
      </c>
      <c r="S15" s="7">
        <v>201280.84140896</v>
      </c>
      <c r="T15" s="7">
        <v>9959.0838662099995</v>
      </c>
      <c r="U15" s="7">
        <v>4769.3996649999999</v>
      </c>
      <c r="V15" s="7">
        <v>0</v>
      </c>
      <c r="AE15" s="7">
        <v>2548.5299999999997</v>
      </c>
      <c r="AF15" s="7">
        <v>18714</v>
      </c>
      <c r="AG15" s="7">
        <v>111</v>
      </c>
      <c r="AI15" s="7">
        <v>850</v>
      </c>
      <c r="AJ15" s="7">
        <v>30</v>
      </c>
      <c r="AK15" s="7">
        <v>16</v>
      </c>
      <c r="AL15" s="7">
        <v>11050</v>
      </c>
      <c r="AM15" s="2">
        <v>265</v>
      </c>
      <c r="AN15" s="2">
        <v>434</v>
      </c>
      <c r="AO15" s="2">
        <v>2</v>
      </c>
      <c r="AP15" s="2">
        <v>1</v>
      </c>
      <c r="AQ15" s="2">
        <v>1</v>
      </c>
      <c r="AR15" s="2">
        <v>1</v>
      </c>
      <c r="AS15" s="2">
        <v>0</v>
      </c>
      <c r="AT15" s="2">
        <v>275</v>
      </c>
      <c r="AU15" s="2">
        <v>25</v>
      </c>
      <c r="AV15" s="2">
        <v>2036</v>
      </c>
      <c r="AW15" s="1">
        <v>2</v>
      </c>
      <c r="AX15" s="1" t="s">
        <v>271</v>
      </c>
    </row>
    <row r="16" spans="1:51" x14ac:dyDescent="0.2">
      <c r="A16" s="1" t="s">
        <v>38</v>
      </c>
      <c r="B16" s="1" t="s">
        <v>37</v>
      </c>
      <c r="C16" s="1" t="s">
        <v>13</v>
      </c>
      <c r="D16" s="6">
        <v>55.239481118957734</v>
      </c>
      <c r="E16" s="8">
        <v>23</v>
      </c>
      <c r="F16" s="8">
        <v>134</v>
      </c>
      <c r="G16" s="8">
        <v>9</v>
      </c>
      <c r="H16" s="12">
        <v>21</v>
      </c>
      <c r="I16" s="12">
        <v>195</v>
      </c>
      <c r="J16" s="13">
        <v>276</v>
      </c>
      <c r="K16" s="13">
        <v>403</v>
      </c>
      <c r="L16" s="13">
        <v>175</v>
      </c>
      <c r="M16" s="13">
        <v>535</v>
      </c>
      <c r="N16" s="13">
        <v>1597</v>
      </c>
      <c r="O16" s="13">
        <v>959</v>
      </c>
      <c r="P16" s="12">
        <v>1930</v>
      </c>
      <c r="Q16" s="12">
        <v>2015</v>
      </c>
      <c r="R16" s="12">
        <v>3945</v>
      </c>
      <c r="S16" s="7">
        <v>17965.589823040002</v>
      </c>
      <c r="T16" s="7">
        <v>148.52476787999998</v>
      </c>
      <c r="U16" s="7">
        <v>4175.5412729999998</v>
      </c>
      <c r="V16" s="7">
        <v>62.361096000000003</v>
      </c>
      <c r="AE16" s="7">
        <v>1531.8695120292348</v>
      </c>
      <c r="AF16" s="7">
        <v>5306</v>
      </c>
      <c r="AG16" s="7">
        <v>303</v>
      </c>
      <c r="AI16" s="7">
        <v>1180</v>
      </c>
      <c r="AJ16" s="7">
        <v>48</v>
      </c>
      <c r="AK16" s="7">
        <v>320</v>
      </c>
      <c r="AL16" s="7">
        <v>16000</v>
      </c>
      <c r="AM16" s="2">
        <v>280</v>
      </c>
      <c r="AN16" s="2">
        <v>491</v>
      </c>
      <c r="AO16" s="2">
        <v>1</v>
      </c>
      <c r="AP16" s="2">
        <v>1</v>
      </c>
      <c r="AQ16" s="2">
        <v>1</v>
      </c>
      <c r="AR16" s="2">
        <v>1</v>
      </c>
      <c r="AS16" s="2">
        <v>0</v>
      </c>
      <c r="AT16" s="2">
        <v>748</v>
      </c>
      <c r="AU16" s="2">
        <v>4</v>
      </c>
      <c r="AV16" s="2">
        <v>2112</v>
      </c>
      <c r="AW16" s="1">
        <v>5</v>
      </c>
      <c r="AX16" s="1" t="s">
        <v>271</v>
      </c>
      <c r="AY16" s="2">
        <v>2</v>
      </c>
    </row>
    <row r="17" spans="1:51" x14ac:dyDescent="0.2">
      <c r="A17" s="1" t="s">
        <v>40</v>
      </c>
      <c r="B17" s="1" t="s">
        <v>39</v>
      </c>
      <c r="C17" s="1" t="s">
        <v>41</v>
      </c>
      <c r="D17" s="6">
        <v>56.839916215376348</v>
      </c>
      <c r="E17" s="8">
        <v>8</v>
      </c>
      <c r="F17" s="8">
        <v>57</v>
      </c>
      <c r="G17" s="8">
        <v>15</v>
      </c>
      <c r="H17" s="12">
        <v>15</v>
      </c>
      <c r="I17" s="12">
        <v>48</v>
      </c>
      <c r="J17" s="13">
        <v>258</v>
      </c>
      <c r="K17" s="13">
        <v>333</v>
      </c>
      <c r="L17" s="13">
        <v>125</v>
      </c>
      <c r="M17" s="13">
        <v>323</v>
      </c>
      <c r="N17" s="13">
        <v>1318</v>
      </c>
      <c r="O17" s="13">
        <v>1055</v>
      </c>
      <c r="P17" s="12">
        <v>1678</v>
      </c>
      <c r="Q17" s="12">
        <v>1734</v>
      </c>
      <c r="R17" s="12">
        <v>3412</v>
      </c>
      <c r="S17" s="7">
        <v>363.96548944</v>
      </c>
      <c r="T17" s="7">
        <v>18529.52269605</v>
      </c>
      <c r="U17" s="7">
        <v>3402.4716239999998</v>
      </c>
      <c r="V17" s="7">
        <v>0</v>
      </c>
      <c r="AE17" s="7">
        <v>2917.2099847135278</v>
      </c>
      <c r="AF17" s="7">
        <v>7014</v>
      </c>
      <c r="AG17" s="7">
        <v>1.702</v>
      </c>
      <c r="AH17" s="7">
        <v>21</v>
      </c>
      <c r="AI17" s="7">
        <v>1650</v>
      </c>
      <c r="AJ17" s="7">
        <v>230</v>
      </c>
      <c r="AK17" s="7">
        <v>135</v>
      </c>
      <c r="AL17" s="7">
        <v>6480</v>
      </c>
      <c r="AM17" s="2">
        <v>245</v>
      </c>
      <c r="AN17" s="2">
        <v>431</v>
      </c>
      <c r="AO17" s="2">
        <v>2</v>
      </c>
      <c r="AP17" s="2">
        <v>2</v>
      </c>
      <c r="AQ17" s="2">
        <v>1</v>
      </c>
      <c r="AR17" s="2">
        <v>1</v>
      </c>
      <c r="AS17" s="2">
        <v>0</v>
      </c>
      <c r="AT17" s="2">
        <v>294</v>
      </c>
      <c r="AU17" s="2">
        <v>7</v>
      </c>
      <c r="AV17" s="2">
        <v>2017</v>
      </c>
      <c r="AW17" s="1">
        <v>4</v>
      </c>
      <c r="AX17" s="1" t="s">
        <v>272</v>
      </c>
      <c r="AY17" s="2">
        <v>5</v>
      </c>
    </row>
    <row r="18" spans="1:51" x14ac:dyDescent="0.2">
      <c r="A18" s="1" t="s">
        <v>43</v>
      </c>
      <c r="B18" s="1" t="s">
        <v>42</v>
      </c>
      <c r="C18" s="1" t="s">
        <v>28</v>
      </c>
      <c r="D18" s="6">
        <v>1329.040430265457</v>
      </c>
      <c r="E18" s="8">
        <v>555</v>
      </c>
      <c r="F18" s="8">
        <v>2338</v>
      </c>
      <c r="G18" s="8">
        <v>590</v>
      </c>
      <c r="H18" s="12">
        <v>743</v>
      </c>
      <c r="I18" s="12">
        <v>4384</v>
      </c>
      <c r="J18" s="13">
        <v>5459</v>
      </c>
      <c r="K18" s="13">
        <v>7886</v>
      </c>
      <c r="L18" s="13">
        <v>3285</v>
      </c>
      <c r="M18" s="13">
        <v>9257</v>
      </c>
      <c r="N18" s="13">
        <v>26282</v>
      </c>
      <c r="O18" s="13">
        <v>8568</v>
      </c>
      <c r="P18" s="12">
        <v>29096</v>
      </c>
      <c r="Q18" s="12">
        <v>31641</v>
      </c>
      <c r="R18" s="12">
        <v>60737</v>
      </c>
      <c r="S18" s="7">
        <v>603787.93827771</v>
      </c>
      <c r="T18" s="7">
        <v>417496.40171996003</v>
      </c>
      <c r="U18" s="7">
        <v>27730.15338</v>
      </c>
      <c r="V18" s="7">
        <v>90.126429999999999</v>
      </c>
      <c r="W18" s="7">
        <v>16</v>
      </c>
      <c r="X18" s="7">
        <v>39</v>
      </c>
      <c r="Y18" s="7">
        <v>23</v>
      </c>
      <c r="Z18" s="7">
        <v>41</v>
      </c>
      <c r="AA18" s="7">
        <v>18</v>
      </c>
      <c r="AB18" s="7">
        <v>2</v>
      </c>
      <c r="AC18" s="7">
        <v>11</v>
      </c>
      <c r="AD18" s="7">
        <v>50</v>
      </c>
      <c r="AE18" s="7">
        <v>15343.132501763252</v>
      </c>
      <c r="AF18" s="7">
        <v>32826</v>
      </c>
      <c r="AG18" s="7">
        <v>812</v>
      </c>
      <c r="AH18" s="7">
        <v>58</v>
      </c>
      <c r="AI18" s="7">
        <v>985</v>
      </c>
      <c r="AJ18" s="7">
        <v>184</v>
      </c>
      <c r="AK18" s="7">
        <v>450</v>
      </c>
      <c r="AL18" s="7">
        <v>12550</v>
      </c>
      <c r="AM18" s="2">
        <v>275.38461538461536</v>
      </c>
      <c r="AN18" s="2">
        <v>11564</v>
      </c>
      <c r="AO18" s="2">
        <v>26</v>
      </c>
      <c r="AP18" s="2">
        <v>97</v>
      </c>
      <c r="AQ18" s="2">
        <v>6</v>
      </c>
      <c r="AR18" s="2">
        <v>21</v>
      </c>
      <c r="AS18" s="2">
        <v>89</v>
      </c>
      <c r="AT18" s="2">
        <v>28044</v>
      </c>
      <c r="AU18" s="2">
        <v>2460</v>
      </c>
      <c r="AV18" s="2">
        <v>31397</v>
      </c>
      <c r="AW18" s="1">
        <v>9</v>
      </c>
      <c r="AX18" s="1" t="s">
        <v>270</v>
      </c>
      <c r="AY18" s="2">
        <v>6</v>
      </c>
    </row>
    <row r="19" spans="1:51" x14ac:dyDescent="0.2">
      <c r="A19" s="1" t="s">
        <v>45</v>
      </c>
      <c r="B19" s="1" t="s">
        <v>44</v>
      </c>
      <c r="C19" s="1" t="s">
        <v>46</v>
      </c>
      <c r="D19" s="6">
        <v>103.65550394352164</v>
      </c>
      <c r="E19" s="8">
        <v>8</v>
      </c>
      <c r="F19" s="8">
        <v>27</v>
      </c>
      <c r="G19" s="8">
        <v>9</v>
      </c>
      <c r="H19" s="12">
        <v>7</v>
      </c>
      <c r="I19" s="12">
        <v>46</v>
      </c>
      <c r="J19" s="13">
        <v>549</v>
      </c>
      <c r="K19" s="13">
        <v>654</v>
      </c>
      <c r="L19" s="13">
        <v>236</v>
      </c>
      <c r="M19" s="13">
        <v>600</v>
      </c>
      <c r="N19" s="13">
        <v>2038</v>
      </c>
      <c r="O19" s="13">
        <v>949</v>
      </c>
      <c r="P19" s="12">
        <v>2576</v>
      </c>
      <c r="Q19" s="12">
        <v>2450</v>
      </c>
      <c r="R19" s="12">
        <v>5026</v>
      </c>
      <c r="S19" s="7">
        <v>30.171002210000001</v>
      </c>
      <c r="T19" s="7">
        <v>156.26911588999999</v>
      </c>
      <c r="U19" s="7">
        <v>12518.230428000001</v>
      </c>
      <c r="V19" s="7">
        <v>1174.637571</v>
      </c>
      <c r="AE19" s="7">
        <v>22697.709695500129</v>
      </c>
      <c r="AF19" s="7">
        <v>8672</v>
      </c>
      <c r="AG19" s="7">
        <v>221</v>
      </c>
      <c r="AH19" s="7">
        <v>2</v>
      </c>
      <c r="AI19" s="7">
        <v>385</v>
      </c>
      <c r="AJ19" s="7">
        <v>295</v>
      </c>
      <c r="AK19" s="7">
        <v>883</v>
      </c>
      <c r="AL19" s="7">
        <v>800</v>
      </c>
      <c r="AM19" s="2">
        <v>275</v>
      </c>
      <c r="AN19" s="2">
        <v>643</v>
      </c>
      <c r="AO19" s="2">
        <v>2</v>
      </c>
      <c r="AP19" s="2">
        <v>1</v>
      </c>
      <c r="AQ19" s="2">
        <v>1</v>
      </c>
      <c r="AR19" s="2">
        <v>1</v>
      </c>
      <c r="AS19" s="2">
        <v>0</v>
      </c>
      <c r="AT19" s="2">
        <v>269</v>
      </c>
      <c r="AU19" s="2">
        <v>4</v>
      </c>
      <c r="AV19" s="2">
        <v>3785</v>
      </c>
      <c r="AW19" s="1">
        <v>6</v>
      </c>
      <c r="AX19" s="1" t="s">
        <v>270</v>
      </c>
      <c r="AY19" s="2">
        <v>10</v>
      </c>
    </row>
    <row r="20" spans="1:51" x14ac:dyDescent="0.2">
      <c r="A20" s="1" t="s">
        <v>48</v>
      </c>
      <c r="B20" s="1" t="s">
        <v>47</v>
      </c>
      <c r="C20" s="1" t="s">
        <v>49</v>
      </c>
      <c r="D20" s="6">
        <v>82.326341913239276</v>
      </c>
      <c r="E20" s="8">
        <v>10</v>
      </c>
      <c r="F20" s="8">
        <v>96</v>
      </c>
      <c r="G20" s="8">
        <v>4</v>
      </c>
      <c r="H20" s="12">
        <v>2</v>
      </c>
      <c r="I20" s="12">
        <v>24</v>
      </c>
      <c r="J20" s="13">
        <v>351</v>
      </c>
      <c r="K20" s="13">
        <v>477</v>
      </c>
      <c r="L20" s="13">
        <v>191</v>
      </c>
      <c r="M20" s="13">
        <v>507</v>
      </c>
      <c r="N20" s="13">
        <v>1565</v>
      </c>
      <c r="O20" s="13">
        <v>1104</v>
      </c>
      <c r="P20" s="12">
        <v>2129</v>
      </c>
      <c r="Q20" s="12">
        <v>2066</v>
      </c>
      <c r="R20" s="12">
        <v>4195</v>
      </c>
      <c r="S20" s="7">
        <v>7.43190185</v>
      </c>
      <c r="T20" s="7">
        <v>13905.621802260001</v>
      </c>
      <c r="U20" s="7">
        <v>3684.8299539999998</v>
      </c>
      <c r="V20" s="7">
        <v>8.4109669999999994</v>
      </c>
      <c r="AE20" s="7">
        <v>4857.2323463733355</v>
      </c>
      <c r="AF20" s="7">
        <v>13793</v>
      </c>
      <c r="AG20" s="7">
        <v>129</v>
      </c>
      <c r="AI20" s="7">
        <v>540</v>
      </c>
      <c r="AJ20" s="7">
        <v>2010</v>
      </c>
      <c r="AK20" s="7">
        <v>4670</v>
      </c>
      <c r="AL20" s="7">
        <v>3850</v>
      </c>
      <c r="AM20" s="2">
        <v>247</v>
      </c>
      <c r="AN20" s="2">
        <v>558</v>
      </c>
      <c r="AO20" s="2">
        <v>4</v>
      </c>
      <c r="AP20" s="2">
        <v>1</v>
      </c>
      <c r="AQ20" s="2">
        <v>1</v>
      </c>
      <c r="AR20" s="2">
        <v>1</v>
      </c>
      <c r="AS20" s="2">
        <v>0</v>
      </c>
      <c r="AT20" s="2">
        <v>201</v>
      </c>
      <c r="AU20" s="2">
        <v>61</v>
      </c>
      <c r="AV20" s="2">
        <v>2463</v>
      </c>
      <c r="AW20" s="1">
        <v>5</v>
      </c>
      <c r="AX20" s="1" t="s">
        <v>271</v>
      </c>
      <c r="AY20" s="2">
        <v>2</v>
      </c>
    </row>
    <row r="21" spans="1:51" x14ac:dyDescent="0.2">
      <c r="A21" s="1" t="s">
        <v>51</v>
      </c>
      <c r="B21" s="1" t="s">
        <v>50</v>
      </c>
      <c r="C21" s="1" t="s">
        <v>19</v>
      </c>
      <c r="D21" s="6">
        <v>101.5820545812238</v>
      </c>
      <c r="E21" s="8">
        <v>22</v>
      </c>
      <c r="F21" s="8">
        <v>132</v>
      </c>
      <c r="G21" s="8">
        <v>8</v>
      </c>
      <c r="H21" s="12">
        <v>8</v>
      </c>
      <c r="I21" s="12">
        <v>78</v>
      </c>
      <c r="J21" s="13">
        <v>985</v>
      </c>
      <c r="K21" s="13">
        <v>1313</v>
      </c>
      <c r="L21" s="13">
        <v>453</v>
      </c>
      <c r="M21" s="13">
        <v>947</v>
      </c>
      <c r="N21" s="13">
        <v>2878</v>
      </c>
      <c r="O21" s="13">
        <v>1829</v>
      </c>
      <c r="P21" s="12">
        <v>4322</v>
      </c>
      <c r="Q21" s="12">
        <v>4083</v>
      </c>
      <c r="R21" s="12">
        <v>8405</v>
      </c>
      <c r="S21" s="7">
        <v>194.95741534999999</v>
      </c>
      <c r="T21" s="7">
        <v>16925.087436509999</v>
      </c>
      <c r="U21" s="7">
        <v>5778.5477099999998</v>
      </c>
      <c r="V21" s="7">
        <v>63.568238000000001</v>
      </c>
      <c r="AE21" s="7">
        <v>2926.838317757009</v>
      </c>
      <c r="AF21" s="7">
        <v>12386</v>
      </c>
      <c r="AG21" s="7">
        <v>312</v>
      </c>
      <c r="AH21" s="7">
        <v>3</v>
      </c>
      <c r="AI21" s="7">
        <v>720</v>
      </c>
      <c r="AJ21" s="7">
        <v>2560</v>
      </c>
      <c r="AK21" s="7">
        <v>11100</v>
      </c>
      <c r="AL21" s="7">
        <v>6500</v>
      </c>
      <c r="AM21" s="2">
        <v>227.75</v>
      </c>
      <c r="AN21" s="2">
        <v>1555</v>
      </c>
      <c r="AO21" s="2">
        <v>4</v>
      </c>
      <c r="AP21" s="2">
        <v>1</v>
      </c>
      <c r="AQ21" s="2">
        <v>2</v>
      </c>
      <c r="AR21" s="2">
        <v>1</v>
      </c>
      <c r="AS21" s="2">
        <v>1</v>
      </c>
      <c r="AT21" s="2">
        <v>707</v>
      </c>
      <c r="AU21" s="2">
        <v>114</v>
      </c>
      <c r="AV21" s="2">
        <v>6350</v>
      </c>
      <c r="AW21" s="1">
        <v>4</v>
      </c>
      <c r="AX21" s="1" t="s">
        <v>271</v>
      </c>
      <c r="AY21" s="2">
        <v>4</v>
      </c>
    </row>
    <row r="22" spans="1:51" x14ac:dyDescent="0.2">
      <c r="A22" s="1" t="s">
        <v>53</v>
      </c>
      <c r="B22" s="1" t="s">
        <v>52</v>
      </c>
      <c r="C22" s="1" t="s">
        <v>10</v>
      </c>
      <c r="D22" s="6">
        <v>166.7246948139161</v>
      </c>
      <c r="E22" s="8">
        <v>30</v>
      </c>
      <c r="F22" s="8">
        <v>107</v>
      </c>
      <c r="G22" s="8">
        <v>15</v>
      </c>
      <c r="H22" s="12">
        <v>14</v>
      </c>
      <c r="I22" s="12">
        <v>76</v>
      </c>
      <c r="J22" s="13">
        <v>680</v>
      </c>
      <c r="K22" s="13">
        <v>792</v>
      </c>
      <c r="L22" s="13">
        <v>265</v>
      </c>
      <c r="M22" s="13">
        <v>649</v>
      </c>
      <c r="N22" s="13">
        <v>2644</v>
      </c>
      <c r="O22" s="13">
        <v>1196</v>
      </c>
      <c r="P22" s="12">
        <v>3225</v>
      </c>
      <c r="Q22" s="12">
        <v>3001</v>
      </c>
      <c r="R22" s="12">
        <v>6226</v>
      </c>
      <c r="S22" s="7">
        <v>175858.72854929999</v>
      </c>
      <c r="T22" s="7">
        <v>14156.406341649999</v>
      </c>
      <c r="U22" s="7">
        <v>4195.983115</v>
      </c>
      <c r="V22" s="7">
        <v>36.200000000000003</v>
      </c>
      <c r="AE22" s="7">
        <v>601751.56999999995</v>
      </c>
      <c r="AF22" s="7">
        <v>4000</v>
      </c>
      <c r="AG22" s="7">
        <v>445</v>
      </c>
      <c r="AI22" s="7">
        <v>980</v>
      </c>
      <c r="AJ22" s="7">
        <v>32</v>
      </c>
      <c r="AK22" s="7">
        <v>40</v>
      </c>
      <c r="AL22" s="7">
        <v>1570</v>
      </c>
      <c r="AM22" s="2">
        <v>236</v>
      </c>
      <c r="AN22" s="2">
        <v>863</v>
      </c>
      <c r="AO22" s="2">
        <v>1</v>
      </c>
      <c r="AP22" s="2">
        <v>1</v>
      </c>
      <c r="AQ22" s="2">
        <v>3</v>
      </c>
      <c r="AR22" s="2">
        <v>2</v>
      </c>
      <c r="AS22" s="2">
        <v>0</v>
      </c>
      <c r="AT22" s="2">
        <v>370</v>
      </c>
      <c r="AU22" s="2">
        <v>41</v>
      </c>
      <c r="AV22" s="2">
        <v>4856</v>
      </c>
      <c r="AW22" s="1">
        <v>3</v>
      </c>
      <c r="AX22" s="1" t="s">
        <v>271</v>
      </c>
    </row>
    <row r="23" spans="1:51" x14ac:dyDescent="0.2">
      <c r="A23" s="1" t="s">
        <v>55</v>
      </c>
      <c r="B23" s="1" t="s">
        <v>54</v>
      </c>
      <c r="C23" s="1" t="s">
        <v>46</v>
      </c>
      <c r="D23" s="6">
        <v>61.736057803386274</v>
      </c>
      <c r="E23" s="8">
        <v>33</v>
      </c>
      <c r="F23" s="8">
        <v>87</v>
      </c>
      <c r="G23" s="8">
        <v>23</v>
      </c>
      <c r="H23" s="12">
        <v>19</v>
      </c>
      <c r="I23" s="12">
        <v>110</v>
      </c>
      <c r="J23" s="13">
        <v>414</v>
      </c>
      <c r="K23" s="13">
        <v>408</v>
      </c>
      <c r="L23" s="13">
        <v>131</v>
      </c>
      <c r="M23" s="13">
        <v>383</v>
      </c>
      <c r="N23" s="13">
        <v>1113</v>
      </c>
      <c r="O23" s="13">
        <v>546</v>
      </c>
      <c r="P23" s="12">
        <v>1504</v>
      </c>
      <c r="Q23" s="12">
        <v>1491</v>
      </c>
      <c r="R23" s="12">
        <v>2995</v>
      </c>
      <c r="S23" s="7">
        <v>176570.74800172998</v>
      </c>
      <c r="T23" s="7">
        <v>118.33220282000001</v>
      </c>
      <c r="U23" s="7">
        <v>2488.4523829999998</v>
      </c>
      <c r="V23" s="7">
        <v>118.16048000000001</v>
      </c>
      <c r="AE23" s="7">
        <v>4395.5511373356567</v>
      </c>
      <c r="AF23" s="7">
        <v>3351</v>
      </c>
      <c r="AG23" s="7">
        <v>72</v>
      </c>
      <c r="AH23" s="7">
        <v>3</v>
      </c>
      <c r="AI23" s="7">
        <v>526</v>
      </c>
      <c r="AJ23" s="7">
        <v>45</v>
      </c>
      <c r="AK23" s="7">
        <v>540</v>
      </c>
      <c r="AL23" s="7">
        <v>950</v>
      </c>
      <c r="AM23" s="2">
        <v>272</v>
      </c>
      <c r="AN23" s="2">
        <v>494</v>
      </c>
      <c r="AO23" s="2">
        <v>1</v>
      </c>
      <c r="AP23" s="2">
        <v>1</v>
      </c>
      <c r="AQ23" s="2">
        <v>1</v>
      </c>
      <c r="AR23" s="2">
        <v>1</v>
      </c>
      <c r="AS23" s="2">
        <v>0</v>
      </c>
      <c r="AT23" s="2">
        <v>488</v>
      </c>
      <c r="AU23" s="2">
        <v>2</v>
      </c>
      <c r="AV23" s="2">
        <v>1810</v>
      </c>
      <c r="AW23" s="1">
        <v>4</v>
      </c>
      <c r="AX23" s="1" t="s">
        <v>270</v>
      </c>
      <c r="AY23" s="2">
        <v>5</v>
      </c>
    </row>
    <row r="24" spans="1:51" x14ac:dyDescent="0.2">
      <c r="A24" s="1" t="s">
        <v>57</v>
      </c>
      <c r="B24" s="1" t="s">
        <v>56</v>
      </c>
      <c r="C24" s="1" t="s">
        <v>4</v>
      </c>
      <c r="D24" s="6">
        <v>38.082278999182414</v>
      </c>
      <c r="E24" s="8">
        <v>13</v>
      </c>
      <c r="F24" s="8">
        <v>40</v>
      </c>
      <c r="G24" s="8">
        <v>5</v>
      </c>
      <c r="H24" s="12">
        <v>11</v>
      </c>
      <c r="I24" s="12">
        <v>42</v>
      </c>
      <c r="J24" s="13">
        <v>226</v>
      </c>
      <c r="K24" s="13">
        <v>313</v>
      </c>
      <c r="L24" s="13">
        <v>114</v>
      </c>
      <c r="M24" s="13">
        <v>286</v>
      </c>
      <c r="N24" s="13">
        <v>1095</v>
      </c>
      <c r="O24" s="13">
        <v>630</v>
      </c>
      <c r="P24" s="12">
        <v>1447</v>
      </c>
      <c r="Q24" s="12">
        <v>1217</v>
      </c>
      <c r="R24" s="12">
        <v>2664</v>
      </c>
      <c r="S24" s="7">
        <v>2537.17506989</v>
      </c>
      <c r="T24" s="7">
        <v>7798.4067662500001</v>
      </c>
      <c r="U24" s="7">
        <v>1752.0772910000001</v>
      </c>
      <c r="V24" s="7">
        <v>11.189375999999999</v>
      </c>
      <c r="AE24" s="7">
        <v>4760.2301644957297</v>
      </c>
      <c r="AF24" s="7">
        <v>3148</v>
      </c>
      <c r="AG24" s="7">
        <v>28</v>
      </c>
      <c r="AI24" s="7">
        <v>213</v>
      </c>
      <c r="AJ24" s="7">
        <v>35</v>
      </c>
      <c r="AK24" s="7">
        <v>165</v>
      </c>
      <c r="AL24" s="7">
        <v>15000</v>
      </c>
      <c r="AM24" s="2">
        <v>254</v>
      </c>
      <c r="AN24" s="2">
        <v>295</v>
      </c>
      <c r="AO24" s="2">
        <v>1</v>
      </c>
      <c r="AP24" s="2">
        <v>1</v>
      </c>
      <c r="AQ24" s="2">
        <v>1</v>
      </c>
      <c r="AR24" s="2">
        <v>1</v>
      </c>
      <c r="AS24" s="2">
        <v>0</v>
      </c>
      <c r="AT24" s="2">
        <v>201</v>
      </c>
      <c r="AU24" s="2">
        <v>5</v>
      </c>
      <c r="AV24" s="2">
        <v>1531</v>
      </c>
      <c r="AW24" s="1">
        <v>3</v>
      </c>
      <c r="AX24" s="1" t="s">
        <v>272</v>
      </c>
      <c r="AY24" s="2">
        <v>3</v>
      </c>
    </row>
    <row r="25" spans="1:51" x14ac:dyDescent="0.2">
      <c r="A25" s="1" t="s">
        <v>59</v>
      </c>
      <c r="B25" s="1" t="s">
        <v>58</v>
      </c>
      <c r="C25" s="1" t="s">
        <v>25</v>
      </c>
      <c r="D25" s="6">
        <v>110.88304010412922</v>
      </c>
      <c r="E25" s="8">
        <v>30</v>
      </c>
      <c r="F25" s="8">
        <v>94</v>
      </c>
      <c r="G25" s="8">
        <v>16</v>
      </c>
      <c r="H25" s="12">
        <v>21</v>
      </c>
      <c r="I25" s="12">
        <v>194</v>
      </c>
      <c r="J25" s="13">
        <v>557</v>
      </c>
      <c r="K25" s="13">
        <v>638</v>
      </c>
      <c r="L25" s="13">
        <v>220</v>
      </c>
      <c r="M25" s="13">
        <v>576</v>
      </c>
      <c r="N25" s="13">
        <v>1926</v>
      </c>
      <c r="O25" s="13">
        <v>1046</v>
      </c>
      <c r="P25" s="12">
        <v>2462</v>
      </c>
      <c r="Q25" s="12">
        <v>2501</v>
      </c>
      <c r="R25" s="12">
        <v>4963</v>
      </c>
      <c r="S25" s="7">
        <v>18587.611190269996</v>
      </c>
      <c r="T25" s="7">
        <v>161.49590412000001</v>
      </c>
      <c r="U25" s="7">
        <v>7156.1033500000003</v>
      </c>
      <c r="V25" s="7">
        <v>93.558543999999998</v>
      </c>
      <c r="AE25" s="7">
        <v>14148.467485785242</v>
      </c>
      <c r="AF25" s="7">
        <v>6686</v>
      </c>
      <c r="AG25" s="7">
        <v>1.173</v>
      </c>
      <c r="AH25" s="7">
        <v>1</v>
      </c>
      <c r="AI25" s="7">
        <v>350</v>
      </c>
      <c r="AJ25" s="7">
        <v>25</v>
      </c>
      <c r="AK25" s="7">
        <v>260</v>
      </c>
      <c r="AL25" s="7">
        <v>1400</v>
      </c>
      <c r="AM25" s="2">
        <v>270.5</v>
      </c>
      <c r="AN25" s="2">
        <v>798</v>
      </c>
      <c r="AO25" s="2">
        <v>2</v>
      </c>
      <c r="AP25" s="2">
        <v>1</v>
      </c>
      <c r="AQ25" s="2">
        <v>1</v>
      </c>
      <c r="AR25" s="2">
        <v>1</v>
      </c>
      <c r="AS25" s="2">
        <v>0</v>
      </c>
      <c r="AT25" s="2">
        <v>338</v>
      </c>
      <c r="AU25" s="2">
        <v>9</v>
      </c>
      <c r="AV25" s="2">
        <v>3332</v>
      </c>
      <c r="AW25" s="1">
        <v>8</v>
      </c>
      <c r="AX25" s="1" t="s">
        <v>272</v>
      </c>
      <c r="AY25" s="2">
        <v>1</v>
      </c>
    </row>
    <row r="26" spans="1:51" x14ac:dyDescent="0.2">
      <c r="A26" s="1" t="s">
        <v>61</v>
      </c>
      <c r="B26" s="1" t="s">
        <v>60</v>
      </c>
      <c r="C26" s="1" t="s">
        <v>46</v>
      </c>
      <c r="D26" s="6">
        <v>232.10244617374576</v>
      </c>
      <c r="E26" s="8">
        <v>70</v>
      </c>
      <c r="F26" s="8">
        <v>293</v>
      </c>
      <c r="G26" s="8">
        <v>50</v>
      </c>
      <c r="H26" s="12">
        <v>67</v>
      </c>
      <c r="I26" s="12">
        <v>598</v>
      </c>
      <c r="J26" s="13">
        <v>1036</v>
      </c>
      <c r="K26" s="13">
        <v>1243</v>
      </c>
      <c r="L26" s="13">
        <v>472</v>
      </c>
      <c r="M26" s="13">
        <v>1831</v>
      </c>
      <c r="N26" s="13">
        <v>7291</v>
      </c>
      <c r="O26" s="13">
        <v>2167</v>
      </c>
      <c r="P26" s="12">
        <v>8743</v>
      </c>
      <c r="Q26" s="12">
        <v>5297</v>
      </c>
      <c r="R26" s="12">
        <v>14040</v>
      </c>
      <c r="S26" s="7">
        <v>1.4421137500000001</v>
      </c>
      <c r="T26" s="7">
        <v>541.19256336000001</v>
      </c>
      <c r="U26" s="7">
        <v>18729.975925999999</v>
      </c>
      <c r="V26" s="7">
        <v>96.103769</v>
      </c>
      <c r="AE26" s="7">
        <v>25931.807046563561</v>
      </c>
      <c r="AF26" s="7">
        <v>14888</v>
      </c>
      <c r="AG26" s="7">
        <v>374</v>
      </c>
      <c r="AH26" s="7">
        <v>36</v>
      </c>
      <c r="AI26" s="7">
        <v>610</v>
      </c>
      <c r="AJ26" s="7">
        <v>244</v>
      </c>
      <c r="AK26" s="7">
        <v>980</v>
      </c>
      <c r="AL26" s="7">
        <v>227500</v>
      </c>
      <c r="AM26" s="2">
        <v>287.60000000000002</v>
      </c>
      <c r="AN26" s="2">
        <v>3042</v>
      </c>
      <c r="AO26" s="2">
        <v>7</v>
      </c>
      <c r="AP26" s="2">
        <v>3</v>
      </c>
      <c r="AQ26" s="2">
        <v>1</v>
      </c>
      <c r="AR26" s="2">
        <v>1</v>
      </c>
      <c r="AS26" s="2">
        <v>0</v>
      </c>
      <c r="AT26" s="2">
        <v>1104</v>
      </c>
      <c r="AU26" s="2">
        <v>9</v>
      </c>
      <c r="AV26" s="2">
        <v>6204</v>
      </c>
      <c r="AW26" s="1">
        <v>8</v>
      </c>
      <c r="AX26" s="1" t="s">
        <v>270</v>
      </c>
      <c r="AY26" s="2">
        <v>10</v>
      </c>
    </row>
    <row r="27" spans="1:51" x14ac:dyDescent="0.2">
      <c r="A27" s="1" t="s">
        <v>63</v>
      </c>
      <c r="B27" s="1" t="s">
        <v>62</v>
      </c>
      <c r="C27" s="1" t="s">
        <v>28</v>
      </c>
      <c r="D27" s="6">
        <v>146.74804346739472</v>
      </c>
      <c r="E27" s="8">
        <v>7</v>
      </c>
      <c r="F27" s="8">
        <v>39</v>
      </c>
      <c r="G27" s="8">
        <v>6</v>
      </c>
      <c r="H27" s="12">
        <v>5</v>
      </c>
      <c r="I27" s="12">
        <v>53</v>
      </c>
      <c r="J27" s="13">
        <v>363</v>
      </c>
      <c r="K27" s="13">
        <v>450</v>
      </c>
      <c r="L27" s="13">
        <v>165</v>
      </c>
      <c r="M27" s="13">
        <v>396</v>
      </c>
      <c r="N27" s="13">
        <v>1515</v>
      </c>
      <c r="O27" s="13">
        <v>943</v>
      </c>
      <c r="P27" s="12">
        <v>1996</v>
      </c>
      <c r="Q27" s="12">
        <v>1836</v>
      </c>
      <c r="R27" s="12">
        <v>3832</v>
      </c>
      <c r="S27" s="7">
        <v>105.49390651</v>
      </c>
      <c r="T27" s="7">
        <v>4.84604518</v>
      </c>
      <c r="U27" s="7">
        <v>1771.5288949999999</v>
      </c>
      <c r="V27" s="7">
        <v>129.10469599999999</v>
      </c>
      <c r="AE27" s="7">
        <v>28174.043649401443</v>
      </c>
      <c r="AF27" s="7">
        <v>7200</v>
      </c>
      <c r="AG27" s="7">
        <v>352</v>
      </c>
      <c r="AH27" s="7">
        <v>27</v>
      </c>
      <c r="AI27" s="7">
        <v>530</v>
      </c>
      <c r="AJ27" s="7">
        <v>7</v>
      </c>
      <c r="AL27" s="7">
        <v>13000</v>
      </c>
      <c r="AM27" s="2">
        <v>242</v>
      </c>
      <c r="AN27" s="2">
        <v>438</v>
      </c>
      <c r="AO27" s="2">
        <v>2</v>
      </c>
      <c r="AP27" s="2">
        <v>1</v>
      </c>
      <c r="AQ27" s="2">
        <v>1</v>
      </c>
      <c r="AR27" s="2">
        <v>1</v>
      </c>
      <c r="AS27" s="2">
        <v>0</v>
      </c>
      <c r="AT27" s="2">
        <v>250</v>
      </c>
      <c r="AU27" s="2">
        <v>16</v>
      </c>
      <c r="AV27" s="2">
        <v>2061</v>
      </c>
      <c r="AW27" s="1">
        <v>3</v>
      </c>
      <c r="AX27" s="1" t="s">
        <v>271</v>
      </c>
    </row>
    <row r="28" spans="1:51" x14ac:dyDescent="0.2">
      <c r="A28" s="1" t="s">
        <v>65</v>
      </c>
      <c r="B28" s="1" t="s">
        <v>64</v>
      </c>
      <c r="C28" s="1" t="s">
        <v>13</v>
      </c>
      <c r="D28" s="6">
        <v>104.71897709683584</v>
      </c>
      <c r="E28" s="8">
        <v>19</v>
      </c>
      <c r="F28" s="8">
        <v>125</v>
      </c>
      <c r="G28" s="8">
        <v>2</v>
      </c>
      <c r="H28" s="12">
        <v>37</v>
      </c>
      <c r="I28" s="12">
        <v>212</v>
      </c>
      <c r="J28" s="13">
        <v>253</v>
      </c>
      <c r="K28" s="13">
        <v>270</v>
      </c>
      <c r="L28" s="13">
        <v>114</v>
      </c>
      <c r="M28" s="13">
        <v>392</v>
      </c>
      <c r="N28" s="13">
        <v>1148</v>
      </c>
      <c r="O28" s="13">
        <v>497</v>
      </c>
      <c r="P28" s="12">
        <v>1382</v>
      </c>
      <c r="Q28" s="12">
        <v>1292</v>
      </c>
      <c r="R28" s="12">
        <v>2674</v>
      </c>
      <c r="S28" s="7">
        <v>3.5512490000000001E-2</v>
      </c>
      <c r="T28" s="7">
        <v>52.309458990000003</v>
      </c>
      <c r="U28" s="7">
        <v>2492.6835369999999</v>
      </c>
      <c r="V28" s="7">
        <v>0</v>
      </c>
      <c r="AE28" s="7">
        <v>2895.7189925550451</v>
      </c>
      <c r="AF28" s="7">
        <v>1162</v>
      </c>
      <c r="AG28" s="7">
        <v>42</v>
      </c>
      <c r="AI28" s="7">
        <v>1620</v>
      </c>
      <c r="AJ28" s="7">
        <v>145</v>
      </c>
      <c r="AK28" s="7">
        <v>700</v>
      </c>
      <c r="AL28" s="7">
        <v>750</v>
      </c>
      <c r="AM28" s="2">
        <v>283</v>
      </c>
      <c r="AN28" s="2">
        <v>395</v>
      </c>
      <c r="AO28" s="2">
        <v>1</v>
      </c>
      <c r="AP28" s="2">
        <v>1</v>
      </c>
      <c r="AQ28" s="2">
        <v>1</v>
      </c>
      <c r="AR28" s="2">
        <v>1</v>
      </c>
      <c r="AS28" s="2">
        <v>0</v>
      </c>
      <c r="AT28" s="2">
        <v>677</v>
      </c>
      <c r="AU28" s="2">
        <v>1</v>
      </c>
      <c r="AV28" s="2">
        <v>1062</v>
      </c>
      <c r="AW28" s="1">
        <v>5</v>
      </c>
      <c r="AX28" s="1" t="s">
        <v>271</v>
      </c>
      <c r="AY28" s="2">
        <v>4</v>
      </c>
    </row>
    <row r="29" spans="1:51" x14ac:dyDescent="0.2">
      <c r="A29" s="1" t="s">
        <v>67</v>
      </c>
      <c r="B29" s="1" t="s">
        <v>66</v>
      </c>
      <c r="C29" s="1" t="s">
        <v>22</v>
      </c>
      <c r="D29" s="6">
        <v>80.112241818605469</v>
      </c>
      <c r="E29" s="8">
        <v>10</v>
      </c>
      <c r="F29" s="8">
        <v>74</v>
      </c>
      <c r="G29" s="8">
        <v>6</v>
      </c>
      <c r="H29" s="12">
        <v>3</v>
      </c>
      <c r="I29" s="12">
        <v>34</v>
      </c>
      <c r="J29" s="13">
        <v>292</v>
      </c>
      <c r="K29" s="13">
        <v>359</v>
      </c>
      <c r="L29" s="13">
        <v>124</v>
      </c>
      <c r="M29" s="13">
        <v>303</v>
      </c>
      <c r="N29" s="13">
        <v>1101</v>
      </c>
      <c r="O29" s="13">
        <v>762</v>
      </c>
      <c r="P29" s="12">
        <v>1538</v>
      </c>
      <c r="Q29" s="12">
        <v>1403</v>
      </c>
      <c r="R29" s="12">
        <v>2941</v>
      </c>
      <c r="S29" s="7">
        <v>62222.988229330003</v>
      </c>
      <c r="T29" s="7">
        <v>9854.8121856200014</v>
      </c>
      <c r="U29" s="7">
        <v>4692.5127380000004</v>
      </c>
      <c r="V29" s="7">
        <v>156.94423</v>
      </c>
      <c r="AE29" s="7">
        <v>8323.7174766355129</v>
      </c>
      <c r="AF29" s="7">
        <v>2641</v>
      </c>
      <c r="AG29" s="7">
        <v>86</v>
      </c>
      <c r="AI29" s="7">
        <v>1340</v>
      </c>
      <c r="AJ29" s="7">
        <v>2820</v>
      </c>
      <c r="AK29" s="7">
        <v>360</v>
      </c>
      <c r="AL29" s="7">
        <v>2500</v>
      </c>
      <c r="AM29" s="2">
        <v>236</v>
      </c>
      <c r="AN29" s="2">
        <v>433</v>
      </c>
      <c r="AO29" s="2">
        <v>1</v>
      </c>
      <c r="AP29" s="2">
        <v>1</v>
      </c>
      <c r="AQ29" s="2">
        <v>1</v>
      </c>
      <c r="AR29" s="2">
        <v>1</v>
      </c>
      <c r="AS29" s="2">
        <v>0</v>
      </c>
      <c r="AT29" s="2">
        <v>199</v>
      </c>
      <c r="AU29" s="2">
        <v>5</v>
      </c>
      <c r="AV29" s="2">
        <v>2384</v>
      </c>
      <c r="AW29" s="1">
        <v>3</v>
      </c>
      <c r="AX29" s="1" t="s">
        <v>271</v>
      </c>
      <c r="AY29" s="2">
        <v>3</v>
      </c>
    </row>
    <row r="30" spans="1:51" x14ac:dyDescent="0.2">
      <c r="A30" s="1" t="s">
        <v>69</v>
      </c>
      <c r="B30" s="1" t="s">
        <v>68</v>
      </c>
      <c r="C30" s="1" t="s">
        <v>49</v>
      </c>
      <c r="D30" s="6">
        <v>229.4836998731642</v>
      </c>
      <c r="E30" s="8"/>
      <c r="F30" s="8"/>
      <c r="G30" s="8"/>
      <c r="H30" s="12">
        <v>17</v>
      </c>
      <c r="I30" s="12">
        <v>143</v>
      </c>
      <c r="J30" s="13">
        <v>2249</v>
      </c>
      <c r="K30" s="13">
        <v>2078</v>
      </c>
      <c r="L30" s="13">
        <v>620</v>
      </c>
      <c r="M30" s="13">
        <v>1677</v>
      </c>
      <c r="N30" s="13">
        <v>3774</v>
      </c>
      <c r="O30" s="13">
        <v>897</v>
      </c>
      <c r="P30" s="12">
        <v>5662</v>
      </c>
      <c r="Q30" s="12">
        <v>5633</v>
      </c>
      <c r="R30" s="12">
        <v>11295</v>
      </c>
      <c r="S30" s="7">
        <v>11572.349761219997</v>
      </c>
      <c r="T30" s="7">
        <v>14464.044967889999</v>
      </c>
      <c r="U30" s="7">
        <v>2249.1700230000001</v>
      </c>
      <c r="V30" s="7">
        <v>15</v>
      </c>
      <c r="AE30" s="7">
        <v>789.04</v>
      </c>
      <c r="AF30" s="7">
        <v>9218</v>
      </c>
      <c r="AG30" s="7">
        <v>392</v>
      </c>
      <c r="AH30" s="7">
        <v>9</v>
      </c>
      <c r="AI30" s="7">
        <v>783</v>
      </c>
      <c r="AJ30" s="7">
        <v>13</v>
      </c>
      <c r="AK30" s="7">
        <v>565</v>
      </c>
      <c r="AL30" s="7">
        <v>1740</v>
      </c>
      <c r="AM30" s="2">
        <v>251</v>
      </c>
      <c r="AN30" s="2">
        <v>1481</v>
      </c>
      <c r="AO30" s="2">
        <v>2</v>
      </c>
      <c r="AP30" s="2">
        <v>5</v>
      </c>
      <c r="AQ30" s="2">
        <v>2</v>
      </c>
      <c r="AR30" s="2">
        <v>3</v>
      </c>
      <c r="AS30" s="2">
        <v>6</v>
      </c>
      <c r="AT30" s="2">
        <v>1210</v>
      </c>
      <c r="AU30" s="2">
        <v>165</v>
      </c>
      <c r="AV30" s="2">
        <v>9497</v>
      </c>
      <c r="AW30" s="1">
        <v>5</v>
      </c>
      <c r="AX30" s="1" t="s">
        <v>271</v>
      </c>
      <c r="AY30" s="2">
        <v>5</v>
      </c>
    </row>
    <row r="31" spans="1:51" x14ac:dyDescent="0.2">
      <c r="A31" s="1" t="s">
        <v>71</v>
      </c>
      <c r="B31" s="1" t="s">
        <v>70</v>
      </c>
      <c r="C31" s="1" t="s">
        <v>46</v>
      </c>
      <c r="D31" s="6">
        <v>79.420264952075655</v>
      </c>
      <c r="E31" s="8">
        <v>23</v>
      </c>
      <c r="F31" s="8">
        <v>115</v>
      </c>
      <c r="G31" s="8">
        <v>13</v>
      </c>
      <c r="H31" s="12">
        <v>23</v>
      </c>
      <c r="I31" s="12">
        <v>211</v>
      </c>
      <c r="J31" s="13">
        <v>452</v>
      </c>
      <c r="K31" s="13">
        <v>502</v>
      </c>
      <c r="L31" s="13">
        <v>192</v>
      </c>
      <c r="M31" s="13">
        <v>590</v>
      </c>
      <c r="N31" s="13">
        <v>1634</v>
      </c>
      <c r="O31" s="13">
        <v>650</v>
      </c>
      <c r="P31" s="12">
        <v>2032</v>
      </c>
      <c r="Q31" s="12">
        <v>1988</v>
      </c>
      <c r="R31" s="12">
        <v>4020</v>
      </c>
      <c r="S31" s="7">
        <v>7.9818395600000009</v>
      </c>
      <c r="T31" s="7">
        <v>175.32243124999999</v>
      </c>
      <c r="U31" s="7">
        <v>3640.4444010000002</v>
      </c>
      <c r="V31" s="7">
        <v>40.587373999999997</v>
      </c>
      <c r="AE31" s="7">
        <v>8741.4822667511489</v>
      </c>
      <c r="AF31" s="7">
        <v>1924</v>
      </c>
      <c r="AG31" s="7">
        <v>134</v>
      </c>
      <c r="AH31" s="7">
        <v>2</v>
      </c>
      <c r="AI31" s="7">
        <v>530</v>
      </c>
      <c r="AJ31" s="7">
        <v>120</v>
      </c>
      <c r="AK31" s="7">
        <v>340</v>
      </c>
      <c r="AL31" s="7">
        <v>450</v>
      </c>
      <c r="AM31" s="2">
        <v>256</v>
      </c>
      <c r="AN31" s="2">
        <v>645</v>
      </c>
      <c r="AO31" s="2">
        <v>2</v>
      </c>
      <c r="AP31" s="2">
        <v>2</v>
      </c>
      <c r="AQ31" s="2">
        <v>1</v>
      </c>
      <c r="AR31" s="2">
        <v>1</v>
      </c>
      <c r="AS31" s="2">
        <v>0</v>
      </c>
      <c r="AT31" s="2">
        <v>428</v>
      </c>
      <c r="AU31" s="2">
        <v>2</v>
      </c>
      <c r="AV31" s="2">
        <v>2702</v>
      </c>
      <c r="AW31" s="1">
        <v>8</v>
      </c>
      <c r="AX31" s="1" t="s">
        <v>271</v>
      </c>
      <c r="AY31" s="2">
        <v>3</v>
      </c>
    </row>
    <row r="32" spans="1:51" x14ac:dyDescent="0.2">
      <c r="A32" s="1" t="s">
        <v>73</v>
      </c>
      <c r="B32" s="1" t="s">
        <v>72</v>
      </c>
      <c r="C32" s="1" t="s">
        <v>7</v>
      </c>
      <c r="D32" s="6">
        <v>38.56935290695391</v>
      </c>
      <c r="E32" s="8">
        <v>33</v>
      </c>
      <c r="F32" s="8">
        <v>38</v>
      </c>
      <c r="G32" s="8">
        <v>2</v>
      </c>
      <c r="H32" s="12">
        <v>8</v>
      </c>
      <c r="I32" s="12">
        <v>18</v>
      </c>
      <c r="J32" s="13">
        <v>225</v>
      </c>
      <c r="K32" s="13">
        <v>252</v>
      </c>
      <c r="L32" s="13">
        <v>80</v>
      </c>
      <c r="M32" s="13">
        <v>213</v>
      </c>
      <c r="N32" s="13">
        <v>720</v>
      </c>
      <c r="O32" s="13">
        <v>420</v>
      </c>
      <c r="P32" s="12">
        <v>938</v>
      </c>
      <c r="Q32" s="12">
        <v>972</v>
      </c>
      <c r="R32" s="12">
        <v>1910</v>
      </c>
      <c r="S32" s="7">
        <v>25187.46964358</v>
      </c>
      <c r="T32" s="7">
        <v>66.973651770000004</v>
      </c>
      <c r="U32" s="7">
        <v>2102.223297</v>
      </c>
      <c r="V32" s="7">
        <v>25.509584</v>
      </c>
      <c r="AE32" s="7">
        <v>3953.6168224299067</v>
      </c>
      <c r="AF32" s="7">
        <v>3153</v>
      </c>
      <c r="AG32" s="7">
        <v>76</v>
      </c>
      <c r="AI32" s="7">
        <v>385</v>
      </c>
      <c r="AJ32" s="7">
        <v>155</v>
      </c>
      <c r="AK32" s="7">
        <v>1230</v>
      </c>
      <c r="AL32" s="7">
        <v>400</v>
      </c>
      <c r="AM32" s="2">
        <v>258</v>
      </c>
      <c r="AN32" s="2">
        <v>309</v>
      </c>
      <c r="AO32" s="2">
        <v>1</v>
      </c>
      <c r="AP32" s="2">
        <v>1</v>
      </c>
      <c r="AQ32" s="2">
        <v>1</v>
      </c>
      <c r="AR32" s="2">
        <v>0</v>
      </c>
      <c r="AS32" s="2">
        <v>0</v>
      </c>
      <c r="AT32" s="2">
        <v>158</v>
      </c>
      <c r="AU32" s="2">
        <v>1</v>
      </c>
      <c r="AV32" s="2">
        <v>1232</v>
      </c>
      <c r="AW32" s="1">
        <v>6</v>
      </c>
      <c r="AX32" s="1" t="s">
        <v>270</v>
      </c>
      <c r="AY32" s="2">
        <v>3</v>
      </c>
    </row>
    <row r="33" spans="1:51" x14ac:dyDescent="0.2">
      <c r="A33" s="1" t="s">
        <v>75</v>
      </c>
      <c r="B33" s="1" t="s">
        <v>74</v>
      </c>
      <c r="C33" s="1" t="s">
        <v>13</v>
      </c>
      <c r="D33" s="6">
        <v>3178.2001715099527</v>
      </c>
      <c r="E33" s="8">
        <v>1279</v>
      </c>
      <c r="F33" s="8">
        <v>8533</v>
      </c>
      <c r="G33" s="8">
        <v>1218</v>
      </c>
      <c r="H33" s="12">
        <v>3099</v>
      </c>
      <c r="I33" s="12">
        <v>25006</v>
      </c>
      <c r="J33" s="13">
        <v>10778</v>
      </c>
      <c r="K33" s="13">
        <v>14987</v>
      </c>
      <c r="L33" s="13">
        <v>6242</v>
      </c>
      <c r="M33" s="13">
        <v>19212</v>
      </c>
      <c r="N33" s="13">
        <v>60830</v>
      </c>
      <c r="O33" s="13">
        <v>20845</v>
      </c>
      <c r="P33" s="12">
        <v>63376</v>
      </c>
      <c r="Q33" s="12">
        <v>69518</v>
      </c>
      <c r="R33" s="12">
        <v>132894</v>
      </c>
      <c r="S33" s="7">
        <v>419317.96636339003</v>
      </c>
      <c r="T33" s="7">
        <v>1116773.5506046398</v>
      </c>
      <c r="U33" s="7">
        <v>38143.277579000001</v>
      </c>
      <c r="V33" s="7">
        <v>9395.7062000000005</v>
      </c>
      <c r="W33" s="7">
        <v>12</v>
      </c>
      <c r="X33" s="7">
        <v>36</v>
      </c>
      <c r="Y33" s="7">
        <v>10</v>
      </c>
      <c r="Z33" s="7">
        <v>55</v>
      </c>
      <c r="AA33" s="7">
        <v>7</v>
      </c>
      <c r="AB33" s="7">
        <v>33</v>
      </c>
      <c r="AC33" s="7">
        <v>6</v>
      </c>
      <c r="AD33" s="7">
        <v>22</v>
      </c>
      <c r="AE33" s="7">
        <v>7565.4461682243</v>
      </c>
      <c r="AF33" s="7">
        <v>13587</v>
      </c>
      <c r="AG33" s="7">
        <v>1.044</v>
      </c>
      <c r="AH33" s="7">
        <v>9</v>
      </c>
      <c r="AI33" s="7">
        <v>1178</v>
      </c>
      <c r="AJ33" s="7">
        <v>131</v>
      </c>
      <c r="AK33" s="7">
        <v>797</v>
      </c>
      <c r="AL33" s="7">
        <v>165080</v>
      </c>
      <c r="AM33" s="2">
        <v>289.08333333333331</v>
      </c>
      <c r="AN33" s="2">
        <v>15872</v>
      </c>
      <c r="AO33" s="2">
        <v>61</v>
      </c>
      <c r="AP33" s="2">
        <v>310</v>
      </c>
      <c r="AQ33" s="2">
        <v>32</v>
      </c>
      <c r="AR33" s="2">
        <v>59</v>
      </c>
      <c r="AS33" s="2">
        <v>173</v>
      </c>
      <c r="AT33" s="2">
        <v>80424</v>
      </c>
      <c r="AU33" s="2">
        <v>5292</v>
      </c>
      <c r="AV33" s="2">
        <v>51899</v>
      </c>
      <c r="AW33" s="1">
        <v>16</v>
      </c>
      <c r="AX33" s="1" t="s">
        <v>273</v>
      </c>
      <c r="AY33" s="2">
        <v>9</v>
      </c>
    </row>
    <row r="34" spans="1:51" x14ac:dyDescent="0.2">
      <c r="A34" s="1" t="s">
        <v>77</v>
      </c>
      <c r="B34" s="1" t="s">
        <v>76</v>
      </c>
      <c r="C34" s="1" t="s">
        <v>49</v>
      </c>
      <c r="D34" s="6">
        <v>76.356903947356457</v>
      </c>
      <c r="E34" s="8">
        <v>32</v>
      </c>
      <c r="F34" s="8">
        <v>195</v>
      </c>
      <c r="G34" s="8">
        <v>10</v>
      </c>
      <c r="H34" s="12">
        <v>13</v>
      </c>
      <c r="I34" s="12">
        <v>110</v>
      </c>
      <c r="J34" s="13">
        <v>470</v>
      </c>
      <c r="K34" s="13">
        <v>601</v>
      </c>
      <c r="L34" s="13">
        <v>214</v>
      </c>
      <c r="M34" s="13">
        <v>507</v>
      </c>
      <c r="N34" s="13">
        <v>1795</v>
      </c>
      <c r="O34" s="13">
        <v>835</v>
      </c>
      <c r="P34" s="12">
        <v>2275</v>
      </c>
      <c r="Q34" s="12">
        <v>2147</v>
      </c>
      <c r="R34" s="12">
        <v>4422</v>
      </c>
      <c r="S34" s="7">
        <v>38034.283652089995</v>
      </c>
      <c r="T34" s="7">
        <v>16989.663566040002</v>
      </c>
      <c r="U34" s="7">
        <v>7172.7767709999998</v>
      </c>
      <c r="V34" s="7">
        <v>31.142164000000001</v>
      </c>
      <c r="AE34" s="7">
        <v>3583.8</v>
      </c>
      <c r="AF34" s="7">
        <v>13710</v>
      </c>
      <c r="AG34" s="7">
        <v>211</v>
      </c>
      <c r="AI34" s="7">
        <v>1115</v>
      </c>
      <c r="AJ34" s="7">
        <v>1029</v>
      </c>
      <c r="AK34" s="7">
        <v>12</v>
      </c>
      <c r="AL34" s="7">
        <v>3600</v>
      </c>
      <c r="AM34" s="2">
        <v>278.5</v>
      </c>
      <c r="AN34" s="2">
        <v>696</v>
      </c>
      <c r="AO34" s="2">
        <v>3</v>
      </c>
      <c r="AP34" s="2">
        <v>3</v>
      </c>
      <c r="AQ34" s="2">
        <v>1</v>
      </c>
      <c r="AR34" s="2">
        <v>2</v>
      </c>
      <c r="AS34" s="2">
        <v>8</v>
      </c>
      <c r="AT34" s="2">
        <v>420</v>
      </c>
      <c r="AU34" s="2">
        <v>76</v>
      </c>
      <c r="AV34" s="2">
        <v>3090</v>
      </c>
      <c r="AW34" s="1">
        <v>5</v>
      </c>
      <c r="AX34" s="1" t="s">
        <v>271</v>
      </c>
    </row>
    <row r="35" spans="1:51" x14ac:dyDescent="0.2">
      <c r="A35" s="1" t="s">
        <v>79</v>
      </c>
      <c r="B35" s="1" t="s">
        <v>78</v>
      </c>
      <c r="C35" s="1" t="s">
        <v>49</v>
      </c>
      <c r="D35" s="6">
        <v>45.027290335049614</v>
      </c>
      <c r="E35" s="8">
        <v>8</v>
      </c>
      <c r="F35" s="8">
        <v>114</v>
      </c>
      <c r="G35" s="8">
        <v>8</v>
      </c>
      <c r="H35" s="12">
        <v>8</v>
      </c>
      <c r="I35" s="12">
        <v>83</v>
      </c>
      <c r="J35" s="13">
        <v>262</v>
      </c>
      <c r="K35" s="13">
        <v>334</v>
      </c>
      <c r="L35" s="13">
        <v>134</v>
      </c>
      <c r="M35" s="13">
        <v>454</v>
      </c>
      <c r="N35" s="13">
        <v>1278</v>
      </c>
      <c r="O35" s="13">
        <v>786</v>
      </c>
      <c r="P35" s="12">
        <v>1621</v>
      </c>
      <c r="Q35" s="12">
        <v>1627</v>
      </c>
      <c r="R35" s="12">
        <v>3248</v>
      </c>
      <c r="S35" s="7">
        <v>31449.097127790003</v>
      </c>
      <c r="T35" s="7">
        <v>9504.3064272099982</v>
      </c>
      <c r="U35" s="7">
        <v>2812.225598</v>
      </c>
      <c r="V35" s="7">
        <v>8.2571779999999997</v>
      </c>
      <c r="AE35" s="7">
        <v>769.74168224299081</v>
      </c>
      <c r="AF35" s="7">
        <v>7417</v>
      </c>
      <c r="AG35" s="7">
        <v>598</v>
      </c>
      <c r="AI35" s="7">
        <v>243</v>
      </c>
      <c r="AJ35" s="7">
        <v>503</v>
      </c>
      <c r="AK35" s="7">
        <v>570</v>
      </c>
      <c r="AL35" s="7">
        <v>2700</v>
      </c>
      <c r="AM35" s="2">
        <v>257.5</v>
      </c>
      <c r="AN35" s="2">
        <v>423</v>
      </c>
      <c r="AO35" s="2">
        <v>2</v>
      </c>
      <c r="AP35" s="2">
        <v>1</v>
      </c>
      <c r="AQ35" s="2">
        <v>1</v>
      </c>
      <c r="AR35" s="2">
        <v>1</v>
      </c>
      <c r="AS35" s="2">
        <v>0</v>
      </c>
      <c r="AT35" s="2">
        <v>221</v>
      </c>
      <c r="AU35" s="2">
        <v>40</v>
      </c>
      <c r="AV35" s="2">
        <v>1727</v>
      </c>
      <c r="AW35" s="1">
        <v>6</v>
      </c>
      <c r="AX35" s="1" t="s">
        <v>271</v>
      </c>
      <c r="AY35" s="2">
        <v>7</v>
      </c>
    </row>
    <row r="36" spans="1:51" x14ac:dyDescent="0.2">
      <c r="A36" s="1" t="s">
        <v>81</v>
      </c>
      <c r="B36" s="1" t="s">
        <v>80</v>
      </c>
      <c r="C36" s="1" t="s">
        <v>7</v>
      </c>
      <c r="D36" s="6">
        <v>127.45193088022833</v>
      </c>
      <c r="E36" s="8">
        <v>34</v>
      </c>
      <c r="F36" s="8">
        <v>162</v>
      </c>
      <c r="G36" s="8">
        <v>6</v>
      </c>
      <c r="H36" s="12">
        <v>47</v>
      </c>
      <c r="I36" s="12">
        <v>278</v>
      </c>
      <c r="J36" s="13">
        <v>635</v>
      </c>
      <c r="K36" s="13">
        <v>762</v>
      </c>
      <c r="L36" s="13">
        <v>292</v>
      </c>
      <c r="M36" s="13">
        <v>874</v>
      </c>
      <c r="N36" s="13">
        <v>2894</v>
      </c>
      <c r="O36" s="13">
        <v>1737</v>
      </c>
      <c r="P36" s="12">
        <v>3548</v>
      </c>
      <c r="Q36" s="12">
        <v>3646</v>
      </c>
      <c r="R36" s="12">
        <v>7194</v>
      </c>
      <c r="S36" s="7">
        <v>13107.706366549999</v>
      </c>
      <c r="T36" s="7">
        <v>195.24307837000001</v>
      </c>
      <c r="U36" s="7">
        <v>4067.8151769999999</v>
      </c>
      <c r="V36" s="7">
        <v>200.111886</v>
      </c>
      <c r="AE36" s="7">
        <v>6945.8151880782534</v>
      </c>
      <c r="AF36" s="7">
        <v>12422</v>
      </c>
      <c r="AG36" s="7">
        <v>659</v>
      </c>
      <c r="AH36" s="7">
        <v>5</v>
      </c>
      <c r="AI36" s="7">
        <v>1621</v>
      </c>
      <c r="AJ36" s="7">
        <v>365</v>
      </c>
      <c r="AK36" s="7">
        <v>723</v>
      </c>
      <c r="AL36" s="7">
        <v>125</v>
      </c>
      <c r="AM36" s="2">
        <v>268.5</v>
      </c>
      <c r="AN36" s="2">
        <v>725</v>
      </c>
      <c r="AO36" s="2">
        <v>2</v>
      </c>
      <c r="AP36" s="2">
        <v>2</v>
      </c>
      <c r="AQ36" s="2">
        <v>1</v>
      </c>
      <c r="AR36" s="2">
        <v>1</v>
      </c>
      <c r="AS36" s="2">
        <v>0</v>
      </c>
      <c r="AT36" s="2">
        <v>1040</v>
      </c>
      <c r="AU36" s="2">
        <v>4</v>
      </c>
      <c r="AV36" s="2">
        <v>2939</v>
      </c>
      <c r="AW36" s="1">
        <v>4</v>
      </c>
      <c r="AX36" s="1" t="s">
        <v>270</v>
      </c>
      <c r="AY36" s="2">
        <v>8</v>
      </c>
    </row>
    <row r="37" spans="1:51" x14ac:dyDescent="0.2">
      <c r="A37" s="1" t="s">
        <v>83</v>
      </c>
      <c r="B37" s="1" t="s">
        <v>82</v>
      </c>
      <c r="C37" s="1" t="s">
        <v>13</v>
      </c>
      <c r="D37" s="6">
        <v>47.207576090540464</v>
      </c>
      <c r="E37" s="8">
        <v>19</v>
      </c>
      <c r="F37" s="8">
        <v>118</v>
      </c>
      <c r="G37" s="8">
        <v>16</v>
      </c>
      <c r="H37" s="12">
        <v>10</v>
      </c>
      <c r="I37" s="12">
        <v>35</v>
      </c>
      <c r="J37" s="13">
        <v>270</v>
      </c>
      <c r="K37" s="13">
        <v>354</v>
      </c>
      <c r="L37" s="13">
        <v>142</v>
      </c>
      <c r="M37" s="13">
        <v>407</v>
      </c>
      <c r="N37" s="13">
        <v>1322</v>
      </c>
      <c r="O37" s="13">
        <v>966</v>
      </c>
      <c r="P37" s="12">
        <v>1644</v>
      </c>
      <c r="Q37" s="12">
        <v>1817</v>
      </c>
      <c r="R37" s="12">
        <v>3461</v>
      </c>
      <c r="S37" s="7">
        <v>61250.805892590011</v>
      </c>
      <c r="T37" s="7">
        <v>73.17379923</v>
      </c>
      <c r="U37" s="7">
        <v>2633.75344</v>
      </c>
      <c r="V37" s="7">
        <v>48.120046000000002</v>
      </c>
      <c r="AE37" s="7">
        <v>831.32624122274035</v>
      </c>
      <c r="AF37" s="7">
        <v>6144</v>
      </c>
      <c r="AG37" s="7">
        <v>197</v>
      </c>
      <c r="AI37" s="7">
        <v>510</v>
      </c>
      <c r="AJ37" s="7">
        <v>645</v>
      </c>
      <c r="AK37" s="7">
        <v>2230</v>
      </c>
      <c r="AL37" s="7">
        <v>7230</v>
      </c>
      <c r="AM37" s="2">
        <v>271</v>
      </c>
      <c r="AN37" s="2">
        <v>472</v>
      </c>
      <c r="AO37" s="2">
        <v>1</v>
      </c>
      <c r="AP37" s="2">
        <v>2</v>
      </c>
      <c r="AQ37" s="2">
        <v>2</v>
      </c>
      <c r="AR37" s="2">
        <v>1</v>
      </c>
      <c r="AS37" s="2">
        <v>0</v>
      </c>
      <c r="AT37" s="2">
        <v>439</v>
      </c>
      <c r="AU37" s="2">
        <v>9</v>
      </c>
      <c r="AV37" s="2">
        <v>2431</v>
      </c>
      <c r="AW37" s="1">
        <v>5</v>
      </c>
      <c r="AX37" s="1" t="s">
        <v>271</v>
      </c>
      <c r="AY37" s="2">
        <v>2</v>
      </c>
    </row>
    <row r="38" spans="1:51" x14ac:dyDescent="0.2">
      <c r="A38" s="1" t="s">
        <v>85</v>
      </c>
      <c r="B38" s="1" t="s">
        <v>84</v>
      </c>
      <c r="C38" s="1" t="s">
        <v>10</v>
      </c>
      <c r="D38" s="6">
        <v>69.979728620069309</v>
      </c>
      <c r="E38" s="8">
        <v>24</v>
      </c>
      <c r="F38" s="8">
        <v>85</v>
      </c>
      <c r="G38" s="8">
        <v>18</v>
      </c>
      <c r="H38" s="12">
        <v>10</v>
      </c>
      <c r="I38" s="12">
        <v>55</v>
      </c>
      <c r="J38" s="13">
        <v>302</v>
      </c>
      <c r="K38" s="13">
        <v>358</v>
      </c>
      <c r="L38" s="13">
        <v>127</v>
      </c>
      <c r="M38" s="13">
        <v>300</v>
      </c>
      <c r="N38" s="13">
        <v>1199</v>
      </c>
      <c r="O38" s="13">
        <v>672</v>
      </c>
      <c r="P38" s="12">
        <v>1564</v>
      </c>
      <c r="Q38" s="12">
        <v>1394</v>
      </c>
      <c r="R38" s="12">
        <v>2958</v>
      </c>
      <c r="S38" s="7">
        <v>26353.777298360001</v>
      </c>
      <c r="T38" s="7">
        <v>9383.3942912599996</v>
      </c>
      <c r="U38" s="7">
        <v>2952.970507</v>
      </c>
      <c r="V38" s="7">
        <v>16.600000000000001</v>
      </c>
      <c r="AE38" s="7">
        <v>17676.119935054649</v>
      </c>
      <c r="AF38" s="7">
        <v>5007</v>
      </c>
      <c r="AG38" s="7">
        <v>19</v>
      </c>
      <c r="AI38" s="7">
        <v>506</v>
      </c>
      <c r="AJ38" s="7">
        <v>101</v>
      </c>
      <c r="AK38" s="7">
        <v>213</v>
      </c>
      <c r="AL38" s="7">
        <v>500</v>
      </c>
      <c r="AM38" s="2">
        <v>248</v>
      </c>
      <c r="AN38" s="2">
        <v>529</v>
      </c>
      <c r="AO38" s="2">
        <v>2</v>
      </c>
      <c r="AP38" s="2">
        <v>1</v>
      </c>
      <c r="AQ38" s="2">
        <v>1</v>
      </c>
      <c r="AR38" s="2">
        <v>1</v>
      </c>
      <c r="AS38" s="2">
        <v>0</v>
      </c>
      <c r="AT38" s="2">
        <v>278</v>
      </c>
      <c r="AU38" s="2">
        <v>14</v>
      </c>
      <c r="AV38" s="2">
        <v>2166</v>
      </c>
      <c r="AW38" s="1">
        <v>5</v>
      </c>
      <c r="AX38" s="1" t="s">
        <v>272</v>
      </c>
      <c r="AY38" s="2">
        <v>2</v>
      </c>
    </row>
    <row r="39" spans="1:51" x14ac:dyDescent="0.2">
      <c r="A39" s="1" t="s">
        <v>87</v>
      </c>
      <c r="B39" s="1" t="s">
        <v>86</v>
      </c>
      <c r="C39" s="1" t="s">
        <v>7</v>
      </c>
      <c r="D39" s="6">
        <v>81.332027300416911</v>
      </c>
      <c r="E39" s="8">
        <v>50</v>
      </c>
      <c r="F39" s="8">
        <v>113</v>
      </c>
      <c r="G39" s="8">
        <v>0</v>
      </c>
      <c r="H39" s="12">
        <v>35</v>
      </c>
      <c r="I39" s="12">
        <v>249</v>
      </c>
      <c r="J39" s="13">
        <v>632</v>
      </c>
      <c r="K39" s="13">
        <v>672</v>
      </c>
      <c r="L39" s="13">
        <v>231</v>
      </c>
      <c r="M39" s="13">
        <v>629</v>
      </c>
      <c r="N39" s="13">
        <v>2024</v>
      </c>
      <c r="O39" s="13">
        <v>977</v>
      </c>
      <c r="P39" s="12">
        <v>2652</v>
      </c>
      <c r="Q39" s="12">
        <v>2513</v>
      </c>
      <c r="R39" s="12">
        <v>5165</v>
      </c>
      <c r="S39" s="7">
        <v>16142.036891419999</v>
      </c>
      <c r="T39" s="7">
        <v>28448.192100290002</v>
      </c>
      <c r="U39" s="7">
        <v>6428.4838769999997</v>
      </c>
      <c r="V39" s="7">
        <v>55.554299999999998</v>
      </c>
      <c r="AE39" s="7">
        <v>7319.1879296689367</v>
      </c>
      <c r="AF39" s="7">
        <v>8273</v>
      </c>
      <c r="AG39" s="7">
        <v>68</v>
      </c>
      <c r="AI39" s="7">
        <v>470</v>
      </c>
      <c r="AJ39" s="7">
        <v>62</v>
      </c>
      <c r="AK39" s="7">
        <v>1910</v>
      </c>
      <c r="AL39" s="7">
        <v>380</v>
      </c>
      <c r="AM39" s="2">
        <v>228.5</v>
      </c>
      <c r="AN39" s="2">
        <v>855</v>
      </c>
      <c r="AO39" s="2">
        <v>2</v>
      </c>
      <c r="AP39" s="2">
        <v>1</v>
      </c>
      <c r="AQ39" s="2">
        <v>1</v>
      </c>
      <c r="AR39" s="2">
        <v>1</v>
      </c>
      <c r="AS39" s="2">
        <v>0</v>
      </c>
      <c r="AT39" s="2">
        <v>841</v>
      </c>
      <c r="AU39" s="2">
        <v>6</v>
      </c>
      <c r="AV39" s="2">
        <v>3001</v>
      </c>
      <c r="AW39" s="1">
        <v>6</v>
      </c>
      <c r="AX39" s="1" t="s">
        <v>272</v>
      </c>
      <c r="AY39" s="2">
        <v>1</v>
      </c>
    </row>
    <row r="40" spans="1:51" x14ac:dyDescent="0.2">
      <c r="A40" s="1" t="s">
        <v>89</v>
      </c>
      <c r="B40" s="1" t="s">
        <v>88</v>
      </c>
      <c r="C40" s="1" t="s">
        <v>41</v>
      </c>
      <c r="D40" s="6">
        <v>283.97735337235707</v>
      </c>
      <c r="E40" s="8">
        <v>121</v>
      </c>
      <c r="F40" s="8">
        <v>705</v>
      </c>
      <c r="G40" s="8">
        <v>191</v>
      </c>
      <c r="H40" s="12">
        <v>127</v>
      </c>
      <c r="I40" s="12">
        <v>1115</v>
      </c>
      <c r="J40" s="13">
        <v>1645</v>
      </c>
      <c r="K40" s="13">
        <v>2065</v>
      </c>
      <c r="L40" s="13">
        <v>784</v>
      </c>
      <c r="M40" s="13">
        <v>2209</v>
      </c>
      <c r="N40" s="13">
        <v>7940</v>
      </c>
      <c r="O40" s="13">
        <v>4772</v>
      </c>
      <c r="P40" s="12">
        <v>9247</v>
      </c>
      <c r="Q40" s="12">
        <v>10168</v>
      </c>
      <c r="R40" s="12">
        <v>19415</v>
      </c>
      <c r="S40" s="7">
        <v>11353.09722709</v>
      </c>
      <c r="T40" s="7">
        <v>97758.618317050001</v>
      </c>
      <c r="U40" s="7">
        <v>14691.414715000001</v>
      </c>
      <c r="V40" s="7">
        <v>969.000675</v>
      </c>
      <c r="W40" s="7">
        <v>25</v>
      </c>
      <c r="X40" s="7">
        <v>38</v>
      </c>
      <c r="Y40" s="7">
        <v>39</v>
      </c>
      <c r="Z40" s="7">
        <v>25</v>
      </c>
      <c r="AA40" s="7">
        <v>32</v>
      </c>
      <c r="AB40" s="7">
        <v>38</v>
      </c>
      <c r="AC40" s="7">
        <v>12</v>
      </c>
      <c r="AD40" s="7">
        <v>62</v>
      </c>
      <c r="AE40" s="7">
        <v>2823.2823000158405</v>
      </c>
      <c r="AF40" s="7">
        <v>15693</v>
      </c>
      <c r="AG40" s="7">
        <v>1.2130000000000001</v>
      </c>
      <c r="AH40" s="7">
        <v>16</v>
      </c>
      <c r="AI40" s="7">
        <v>310</v>
      </c>
      <c r="AJ40" s="7">
        <v>165</v>
      </c>
      <c r="AK40" s="7">
        <v>270</v>
      </c>
      <c r="AM40" s="2">
        <v>290.66666666666669</v>
      </c>
      <c r="AN40" s="2">
        <v>2700</v>
      </c>
      <c r="AO40" s="2">
        <v>6</v>
      </c>
      <c r="AP40" s="2">
        <v>24</v>
      </c>
      <c r="AQ40" s="2">
        <v>8</v>
      </c>
      <c r="AR40" s="2">
        <v>6</v>
      </c>
      <c r="AS40" s="2">
        <v>30</v>
      </c>
      <c r="AT40" s="2">
        <v>5672</v>
      </c>
      <c r="AU40" s="2">
        <v>709</v>
      </c>
      <c r="AV40" s="2">
        <v>9435</v>
      </c>
      <c r="AW40" s="1">
        <v>4</v>
      </c>
      <c r="AX40" s="1" t="s">
        <v>271</v>
      </c>
      <c r="AY40" s="2">
        <v>6</v>
      </c>
    </row>
    <row r="41" spans="1:51" x14ac:dyDescent="0.2">
      <c r="A41" s="1" t="s">
        <v>91</v>
      </c>
      <c r="B41" s="1" t="s">
        <v>90</v>
      </c>
      <c r="C41" s="1" t="s">
        <v>49</v>
      </c>
      <c r="D41" s="6">
        <v>29.363968183423054</v>
      </c>
      <c r="E41" s="8">
        <v>6</v>
      </c>
      <c r="F41" s="8">
        <v>72</v>
      </c>
      <c r="G41" s="8">
        <v>14</v>
      </c>
      <c r="H41" s="12">
        <v>2</v>
      </c>
      <c r="I41" s="12">
        <v>19</v>
      </c>
      <c r="J41" s="13">
        <v>197</v>
      </c>
      <c r="K41" s="13">
        <v>232</v>
      </c>
      <c r="L41" s="13">
        <v>82</v>
      </c>
      <c r="M41" s="13">
        <v>226</v>
      </c>
      <c r="N41" s="13">
        <v>697</v>
      </c>
      <c r="O41" s="13">
        <v>533</v>
      </c>
      <c r="P41" s="12">
        <v>963</v>
      </c>
      <c r="Q41" s="12">
        <v>1004</v>
      </c>
      <c r="R41" s="12">
        <v>1967</v>
      </c>
      <c r="S41" s="7">
        <v>14656.58416323</v>
      </c>
      <c r="T41" s="7">
        <v>128.24104032</v>
      </c>
      <c r="U41" s="7">
        <v>1040.125084</v>
      </c>
      <c r="V41" s="7">
        <v>28.112234999999998</v>
      </c>
      <c r="AE41" s="7">
        <v>1059.5</v>
      </c>
      <c r="AF41" s="7">
        <v>4496</v>
      </c>
      <c r="AG41" s="7">
        <v>148</v>
      </c>
      <c r="AI41" s="7">
        <v>4865</v>
      </c>
      <c r="AJ41" s="7">
        <v>1080</v>
      </c>
      <c r="AK41" s="7">
        <v>1260</v>
      </c>
      <c r="AL41" s="7">
        <v>2000</v>
      </c>
      <c r="AM41" s="2">
        <v>297</v>
      </c>
      <c r="AN41" s="2">
        <v>236</v>
      </c>
      <c r="AO41" s="2">
        <v>1</v>
      </c>
      <c r="AP41" s="2">
        <v>1</v>
      </c>
      <c r="AQ41" s="2">
        <v>1</v>
      </c>
      <c r="AR41" s="2">
        <v>1</v>
      </c>
      <c r="AS41" s="2">
        <v>0</v>
      </c>
      <c r="AT41" s="2">
        <v>116</v>
      </c>
      <c r="AU41" s="2">
        <v>12</v>
      </c>
      <c r="AV41" s="2">
        <v>1049</v>
      </c>
      <c r="AW41" s="1">
        <v>7</v>
      </c>
      <c r="AX41" s="1" t="s">
        <v>272</v>
      </c>
    </row>
    <row r="42" spans="1:51" x14ac:dyDescent="0.2">
      <c r="A42" s="1" t="s">
        <v>93</v>
      </c>
      <c r="B42" s="1" t="s">
        <v>92</v>
      </c>
      <c r="C42" s="1" t="s">
        <v>4</v>
      </c>
      <c r="D42" s="6">
        <v>230.2295550821301</v>
      </c>
      <c r="E42" s="8">
        <v>118</v>
      </c>
      <c r="F42" s="8">
        <v>577</v>
      </c>
      <c r="G42" s="8">
        <v>104</v>
      </c>
      <c r="H42" s="12">
        <v>124</v>
      </c>
      <c r="I42" s="12">
        <v>1339</v>
      </c>
      <c r="J42" s="13">
        <v>816</v>
      </c>
      <c r="K42" s="13">
        <v>1183</v>
      </c>
      <c r="L42" s="13">
        <v>469</v>
      </c>
      <c r="M42" s="13">
        <v>1211</v>
      </c>
      <c r="N42" s="13">
        <v>4989</v>
      </c>
      <c r="O42" s="13">
        <v>2855</v>
      </c>
      <c r="P42" s="12">
        <v>5453</v>
      </c>
      <c r="Q42" s="12">
        <v>6070</v>
      </c>
      <c r="R42" s="12">
        <v>11523</v>
      </c>
      <c r="S42" s="7">
        <v>123084.63514324999</v>
      </c>
      <c r="T42" s="7">
        <v>58489.439590859998</v>
      </c>
      <c r="U42" s="7">
        <v>2790.2424850000002</v>
      </c>
      <c r="V42" s="7">
        <v>114.45662900000001</v>
      </c>
      <c r="W42" s="7">
        <v>40</v>
      </c>
      <c r="X42" s="7">
        <v>64</v>
      </c>
      <c r="Y42" s="7">
        <v>63</v>
      </c>
      <c r="Z42" s="7">
        <v>52</v>
      </c>
      <c r="AA42" s="7">
        <v>27</v>
      </c>
      <c r="AB42" s="7">
        <v>15</v>
      </c>
      <c r="AC42" s="7">
        <v>16</v>
      </c>
      <c r="AD42" s="7">
        <v>64</v>
      </c>
      <c r="AE42" s="7">
        <v>883.57813084112149</v>
      </c>
      <c r="AF42" s="7">
        <v>4522</v>
      </c>
      <c r="AG42" s="7">
        <v>1.089</v>
      </c>
      <c r="AH42" s="7">
        <v>3</v>
      </c>
      <c r="AI42" s="7">
        <v>1460</v>
      </c>
      <c r="AJ42" s="7">
        <v>95</v>
      </c>
      <c r="AK42" s="7">
        <v>195</v>
      </c>
      <c r="AL42" s="7">
        <v>559450</v>
      </c>
      <c r="AM42" s="2">
        <v>270</v>
      </c>
      <c r="AN42" s="2">
        <v>1725</v>
      </c>
      <c r="AO42" s="2">
        <v>4</v>
      </c>
      <c r="AP42" s="2">
        <v>17</v>
      </c>
      <c r="AQ42" s="2">
        <v>3</v>
      </c>
      <c r="AR42" s="2">
        <v>8</v>
      </c>
      <c r="AS42" s="2">
        <v>33</v>
      </c>
      <c r="AT42" s="2">
        <v>2969</v>
      </c>
      <c r="AU42" s="2">
        <v>528</v>
      </c>
      <c r="AV42" s="2">
        <v>5535</v>
      </c>
      <c r="AW42" s="1">
        <v>3</v>
      </c>
      <c r="AX42" s="1" t="s">
        <v>271</v>
      </c>
      <c r="AY42" s="2">
        <v>7</v>
      </c>
    </row>
    <row r="43" spans="1:51" x14ac:dyDescent="0.2">
      <c r="A43" s="1" t="s">
        <v>95</v>
      </c>
      <c r="B43" s="1" t="s">
        <v>94</v>
      </c>
      <c r="C43" s="1" t="s">
        <v>4</v>
      </c>
      <c r="D43" s="6">
        <v>90.717261661045882</v>
      </c>
      <c r="E43" s="8">
        <v>16</v>
      </c>
      <c r="F43" s="8">
        <v>103</v>
      </c>
      <c r="G43" s="8">
        <v>16</v>
      </c>
      <c r="H43" s="12">
        <v>18</v>
      </c>
      <c r="I43" s="12">
        <v>63</v>
      </c>
      <c r="J43" s="13">
        <v>213</v>
      </c>
      <c r="K43" s="13">
        <v>326</v>
      </c>
      <c r="L43" s="13">
        <v>119</v>
      </c>
      <c r="M43" s="13">
        <v>257</v>
      </c>
      <c r="N43" s="13">
        <v>1327</v>
      </c>
      <c r="O43" s="13">
        <v>1285</v>
      </c>
      <c r="P43" s="12">
        <v>1756</v>
      </c>
      <c r="Q43" s="12">
        <v>1771</v>
      </c>
      <c r="R43" s="12">
        <v>3527</v>
      </c>
      <c r="S43" s="7">
        <v>28517.09339283</v>
      </c>
      <c r="T43" s="7">
        <v>8613.3412679699995</v>
      </c>
      <c r="U43" s="7">
        <v>3018.0398719999998</v>
      </c>
      <c r="V43" s="7">
        <v>9.8334430000000008</v>
      </c>
      <c r="AE43" s="7">
        <v>6708.0999999999995</v>
      </c>
      <c r="AF43" s="7">
        <v>7690</v>
      </c>
      <c r="AG43" s="7">
        <v>1.081</v>
      </c>
      <c r="AI43" s="7">
        <v>230</v>
      </c>
      <c r="AJ43" s="7">
        <v>125</v>
      </c>
      <c r="AK43" s="7">
        <v>298</v>
      </c>
      <c r="AL43" s="7">
        <v>141000</v>
      </c>
      <c r="AM43" s="2">
        <v>278.5</v>
      </c>
      <c r="AN43" s="2">
        <v>396</v>
      </c>
      <c r="AO43" s="2">
        <v>2</v>
      </c>
      <c r="AP43" s="2">
        <v>1</v>
      </c>
      <c r="AQ43" s="2">
        <v>1</v>
      </c>
      <c r="AR43" s="2">
        <v>1</v>
      </c>
      <c r="AS43" s="2">
        <v>0</v>
      </c>
      <c r="AT43" s="2">
        <v>296</v>
      </c>
      <c r="AV43" s="2">
        <v>2174</v>
      </c>
      <c r="AW43" s="1">
        <v>3</v>
      </c>
      <c r="AX43" s="1" t="s">
        <v>271</v>
      </c>
      <c r="AY43" s="2">
        <v>5</v>
      </c>
    </row>
    <row r="44" spans="1:51" x14ac:dyDescent="0.2">
      <c r="A44" s="1" t="s">
        <v>97</v>
      </c>
      <c r="B44" s="1" t="s">
        <v>96</v>
      </c>
      <c r="C44" s="1" t="s">
        <v>49</v>
      </c>
      <c r="D44" s="6">
        <v>65.128871536687654</v>
      </c>
      <c r="E44" s="8">
        <v>31</v>
      </c>
      <c r="F44" s="8">
        <v>154</v>
      </c>
      <c r="G44" s="8">
        <v>8</v>
      </c>
      <c r="H44" s="12">
        <v>9</v>
      </c>
      <c r="I44" s="12">
        <v>84</v>
      </c>
      <c r="J44" s="13">
        <v>611</v>
      </c>
      <c r="K44" s="13">
        <v>650</v>
      </c>
      <c r="L44" s="13">
        <v>224</v>
      </c>
      <c r="M44" s="13">
        <v>579</v>
      </c>
      <c r="N44" s="13">
        <v>1675</v>
      </c>
      <c r="O44" s="13">
        <v>806</v>
      </c>
      <c r="P44" s="12">
        <v>2309</v>
      </c>
      <c r="Q44" s="12">
        <v>2236</v>
      </c>
      <c r="R44" s="12">
        <v>4545</v>
      </c>
      <c r="S44" s="7">
        <v>2684.9789376999993</v>
      </c>
      <c r="T44" s="7">
        <v>8647.4718435399991</v>
      </c>
      <c r="U44" s="7">
        <v>3486.059632</v>
      </c>
      <c r="V44" s="7">
        <v>31.077525999999999</v>
      </c>
      <c r="AE44" s="7">
        <v>734.80502026300553</v>
      </c>
      <c r="AF44" s="7">
        <v>10851</v>
      </c>
      <c r="AG44" s="7">
        <v>512</v>
      </c>
      <c r="AI44" s="7">
        <v>1382</v>
      </c>
      <c r="AJ44" s="7">
        <v>2303</v>
      </c>
      <c r="AK44" s="7">
        <v>20875</v>
      </c>
      <c r="AL44" s="7">
        <v>2580</v>
      </c>
      <c r="AM44" s="2">
        <v>258</v>
      </c>
      <c r="AN44" s="2">
        <v>667</v>
      </c>
      <c r="AO44" s="2">
        <v>1</v>
      </c>
      <c r="AP44" s="2">
        <v>1</v>
      </c>
      <c r="AQ44" s="2">
        <v>1</v>
      </c>
      <c r="AR44" s="2">
        <v>2</v>
      </c>
      <c r="AS44" s="2">
        <v>4</v>
      </c>
      <c r="AT44" s="2">
        <v>359</v>
      </c>
      <c r="AU44" s="2">
        <v>148</v>
      </c>
      <c r="AV44" s="2">
        <v>3405</v>
      </c>
      <c r="AW44" s="1">
        <v>4</v>
      </c>
      <c r="AX44" s="1" t="s">
        <v>272</v>
      </c>
      <c r="AY44" s="2">
        <v>3</v>
      </c>
    </row>
    <row r="45" spans="1:51" x14ac:dyDescent="0.2">
      <c r="A45" s="1" t="s">
        <v>99</v>
      </c>
      <c r="B45" s="1" t="s">
        <v>98</v>
      </c>
      <c r="C45" s="1" t="s">
        <v>7</v>
      </c>
      <c r="D45" s="6">
        <v>42.538157472027152</v>
      </c>
      <c r="E45" s="8">
        <v>11</v>
      </c>
      <c r="F45" s="8">
        <v>101</v>
      </c>
      <c r="G45" s="8">
        <v>2</v>
      </c>
      <c r="H45" s="12">
        <v>17</v>
      </c>
      <c r="I45" s="12">
        <v>72</v>
      </c>
      <c r="J45" s="13">
        <v>225</v>
      </c>
      <c r="K45" s="13">
        <v>232</v>
      </c>
      <c r="L45" s="13">
        <v>87</v>
      </c>
      <c r="M45" s="13">
        <v>273</v>
      </c>
      <c r="N45" s="13">
        <v>881</v>
      </c>
      <c r="O45" s="13">
        <v>396</v>
      </c>
      <c r="P45" s="12">
        <v>1046</v>
      </c>
      <c r="Q45" s="12">
        <v>1048</v>
      </c>
      <c r="R45" s="12">
        <v>2094</v>
      </c>
      <c r="S45" s="7">
        <v>5540.7530410300005</v>
      </c>
      <c r="T45" s="7">
        <v>156.12539255999999</v>
      </c>
      <c r="U45" s="7">
        <v>856.60410100000001</v>
      </c>
      <c r="V45" s="7">
        <v>27.229804000000001</v>
      </c>
      <c r="AE45" s="7">
        <v>725.69626168224295</v>
      </c>
      <c r="AF45" s="7">
        <v>3380</v>
      </c>
      <c r="AG45" s="7">
        <v>121</v>
      </c>
      <c r="AI45" s="7">
        <v>675</v>
      </c>
      <c r="AJ45" s="7">
        <v>50</v>
      </c>
      <c r="AK45" s="7">
        <v>530</v>
      </c>
      <c r="AL45" s="7">
        <v>115</v>
      </c>
      <c r="AM45" s="2">
        <v>271</v>
      </c>
      <c r="AN45" s="2">
        <v>318</v>
      </c>
      <c r="AO45" s="2">
        <v>1</v>
      </c>
      <c r="AP45" s="2">
        <v>1</v>
      </c>
      <c r="AQ45" s="2">
        <v>1</v>
      </c>
      <c r="AR45" s="2">
        <v>0</v>
      </c>
      <c r="AS45" s="2">
        <v>0</v>
      </c>
      <c r="AT45" s="2">
        <v>467</v>
      </c>
      <c r="AU45" s="2">
        <v>1</v>
      </c>
      <c r="AV45" s="2">
        <v>1119</v>
      </c>
      <c r="AW45" s="1">
        <v>1</v>
      </c>
      <c r="AX45" s="1" t="s">
        <v>273</v>
      </c>
      <c r="AY45" s="2">
        <v>3</v>
      </c>
    </row>
    <row r="46" spans="1:51" x14ac:dyDescent="0.2">
      <c r="A46" s="1" t="s">
        <v>101</v>
      </c>
      <c r="B46" s="1" t="s">
        <v>100</v>
      </c>
      <c r="C46" s="1" t="s">
        <v>25</v>
      </c>
      <c r="D46" s="6">
        <v>217.28072899706717</v>
      </c>
      <c r="E46" s="8">
        <v>44</v>
      </c>
      <c r="F46" s="8">
        <v>223</v>
      </c>
      <c r="G46" s="8">
        <v>34</v>
      </c>
      <c r="H46" s="12">
        <v>47</v>
      </c>
      <c r="I46" s="12">
        <v>243</v>
      </c>
      <c r="J46" s="13">
        <v>777</v>
      </c>
      <c r="K46" s="13">
        <v>963</v>
      </c>
      <c r="L46" s="13">
        <v>340</v>
      </c>
      <c r="M46" s="13">
        <v>827</v>
      </c>
      <c r="N46" s="13">
        <v>3078</v>
      </c>
      <c r="O46" s="13">
        <v>1770</v>
      </c>
      <c r="P46" s="12">
        <v>3819</v>
      </c>
      <c r="Q46" s="12">
        <v>3936</v>
      </c>
      <c r="R46" s="12">
        <v>7755</v>
      </c>
      <c r="S46" s="7">
        <v>104512.78567473</v>
      </c>
      <c r="T46" s="7">
        <v>18733.407821860001</v>
      </c>
      <c r="U46" s="7">
        <v>5341.3005149999999</v>
      </c>
      <c r="V46" s="7">
        <v>0</v>
      </c>
      <c r="AE46" s="7">
        <v>23740</v>
      </c>
      <c r="AF46" s="7">
        <v>6347</v>
      </c>
      <c r="AG46" s="7">
        <v>1.091</v>
      </c>
      <c r="AH46" s="7">
        <v>2</v>
      </c>
      <c r="AI46" s="7">
        <v>210</v>
      </c>
      <c r="AJ46" s="7">
        <v>48</v>
      </c>
      <c r="AK46" s="7">
        <v>90</v>
      </c>
      <c r="AL46" s="7">
        <v>635</v>
      </c>
      <c r="AM46" s="2">
        <v>261</v>
      </c>
      <c r="AN46" s="2">
        <v>1035</v>
      </c>
      <c r="AO46" s="2">
        <v>1</v>
      </c>
      <c r="AP46" s="2">
        <v>9</v>
      </c>
      <c r="AQ46" s="2">
        <v>1</v>
      </c>
      <c r="AR46" s="2">
        <v>2</v>
      </c>
      <c r="AS46" s="2">
        <v>0</v>
      </c>
      <c r="AT46" s="2">
        <v>585</v>
      </c>
      <c r="AU46" s="2">
        <v>3</v>
      </c>
      <c r="AV46" s="2">
        <v>4985</v>
      </c>
      <c r="AW46" s="1">
        <v>8</v>
      </c>
      <c r="AX46" s="1" t="s">
        <v>270</v>
      </c>
      <c r="AY46" s="2">
        <v>6</v>
      </c>
    </row>
    <row r="47" spans="1:51" x14ac:dyDescent="0.2">
      <c r="A47" s="1" t="s">
        <v>103</v>
      </c>
      <c r="B47" s="1" t="s">
        <v>102</v>
      </c>
      <c r="C47" s="1" t="s">
        <v>19</v>
      </c>
      <c r="D47" s="6">
        <v>91.300952783114383</v>
      </c>
      <c r="E47" s="8">
        <v>20</v>
      </c>
      <c r="F47" s="8">
        <v>101</v>
      </c>
      <c r="G47" s="8">
        <v>8</v>
      </c>
      <c r="H47" s="12">
        <v>21</v>
      </c>
      <c r="I47" s="12">
        <v>218</v>
      </c>
      <c r="J47" s="13">
        <v>471</v>
      </c>
      <c r="K47" s="13">
        <v>520</v>
      </c>
      <c r="L47" s="13">
        <v>177</v>
      </c>
      <c r="M47" s="13">
        <v>541</v>
      </c>
      <c r="N47" s="13">
        <v>1613</v>
      </c>
      <c r="O47" s="13">
        <v>846</v>
      </c>
      <c r="P47" s="12">
        <v>2178</v>
      </c>
      <c r="Q47" s="12">
        <v>1990</v>
      </c>
      <c r="R47" s="12">
        <v>4168</v>
      </c>
      <c r="S47" s="7">
        <v>691.54734309000003</v>
      </c>
      <c r="T47" s="7">
        <v>4.2536411799999998</v>
      </c>
      <c r="U47" s="7">
        <v>3749.3188909999999</v>
      </c>
      <c r="V47" s="7">
        <v>104.968782</v>
      </c>
      <c r="AE47" s="7">
        <v>9312.7373831775712</v>
      </c>
      <c r="AF47" s="7">
        <v>3742</v>
      </c>
      <c r="AG47" s="7">
        <v>5</v>
      </c>
      <c r="AH47" s="7">
        <v>1</v>
      </c>
      <c r="AI47" s="7">
        <v>768</v>
      </c>
      <c r="AJ47" s="7">
        <v>2507</v>
      </c>
      <c r="AK47" s="7">
        <v>2502</v>
      </c>
      <c r="AL47" s="7">
        <v>530</v>
      </c>
      <c r="AM47" s="2">
        <v>230</v>
      </c>
      <c r="AN47" s="2">
        <v>703</v>
      </c>
      <c r="AO47" s="2">
        <v>1</v>
      </c>
      <c r="AP47" s="2">
        <v>1</v>
      </c>
      <c r="AQ47" s="2">
        <v>2</v>
      </c>
      <c r="AR47" s="2">
        <v>1</v>
      </c>
      <c r="AS47" s="2">
        <v>0</v>
      </c>
      <c r="AT47" s="2">
        <v>622</v>
      </c>
      <c r="AU47" s="2">
        <v>13</v>
      </c>
      <c r="AV47" s="2">
        <v>2828</v>
      </c>
      <c r="AW47" s="1">
        <v>3</v>
      </c>
      <c r="AX47" s="1" t="s">
        <v>272</v>
      </c>
      <c r="AY47" s="2">
        <v>2</v>
      </c>
    </row>
    <row r="48" spans="1:51" x14ac:dyDescent="0.2">
      <c r="A48" s="1" t="s">
        <v>105</v>
      </c>
      <c r="B48" s="1" t="s">
        <v>104</v>
      </c>
      <c r="C48" s="1" t="s">
        <v>4</v>
      </c>
      <c r="D48" s="6">
        <v>82.778722495236437</v>
      </c>
      <c r="E48" s="8">
        <v>15</v>
      </c>
      <c r="F48" s="8">
        <v>77</v>
      </c>
      <c r="G48" s="8">
        <v>15</v>
      </c>
      <c r="H48" s="12">
        <v>8</v>
      </c>
      <c r="I48" s="12">
        <v>56</v>
      </c>
      <c r="J48" s="13">
        <v>220</v>
      </c>
      <c r="K48" s="13">
        <v>299</v>
      </c>
      <c r="L48" s="13">
        <v>105</v>
      </c>
      <c r="M48" s="13">
        <v>263</v>
      </c>
      <c r="N48" s="13">
        <v>1064</v>
      </c>
      <c r="O48" s="13">
        <v>900</v>
      </c>
      <c r="P48" s="12">
        <v>1453</v>
      </c>
      <c r="Q48" s="12">
        <v>1398</v>
      </c>
      <c r="R48" s="12">
        <v>2851</v>
      </c>
      <c r="S48" s="7">
        <v>34.463789779999999</v>
      </c>
      <c r="T48" s="7">
        <v>136.98788627000002</v>
      </c>
      <c r="U48" s="7">
        <v>2944.6265520000002</v>
      </c>
      <c r="V48" s="7">
        <v>43.266041999999999</v>
      </c>
      <c r="AE48" s="7">
        <v>4977.1368343311997</v>
      </c>
      <c r="AF48" s="7">
        <v>4271</v>
      </c>
      <c r="AG48" s="7">
        <v>1.998</v>
      </c>
      <c r="AI48" s="7">
        <v>1124</v>
      </c>
      <c r="AJ48" s="7">
        <v>70</v>
      </c>
      <c r="AK48" s="7">
        <v>279</v>
      </c>
      <c r="AL48" s="7">
        <v>850</v>
      </c>
      <c r="AM48" s="2">
        <v>252</v>
      </c>
      <c r="AN48" s="2">
        <v>337</v>
      </c>
      <c r="AO48" s="2">
        <v>1</v>
      </c>
      <c r="AP48" s="2">
        <v>1</v>
      </c>
      <c r="AQ48" s="2">
        <v>1</v>
      </c>
      <c r="AR48" s="2">
        <v>1</v>
      </c>
      <c r="AS48" s="2">
        <v>0</v>
      </c>
      <c r="AT48" s="2">
        <v>168</v>
      </c>
      <c r="AU48" s="2">
        <v>3</v>
      </c>
      <c r="AV48" s="2">
        <v>1701</v>
      </c>
      <c r="AW48" s="1">
        <v>4</v>
      </c>
      <c r="AX48" s="1" t="s">
        <v>272</v>
      </c>
      <c r="AY48" s="2">
        <v>2</v>
      </c>
    </row>
    <row r="49" spans="1:51" x14ac:dyDescent="0.2">
      <c r="A49" s="1" t="s">
        <v>107</v>
      </c>
      <c r="B49" s="1" t="s">
        <v>106</v>
      </c>
      <c r="C49" s="1" t="s">
        <v>22</v>
      </c>
      <c r="D49" s="6">
        <v>77.843219817149759</v>
      </c>
      <c r="E49" s="8">
        <v>20</v>
      </c>
      <c r="F49" s="8">
        <v>124</v>
      </c>
      <c r="G49" s="8">
        <v>8</v>
      </c>
      <c r="H49" s="12">
        <v>17</v>
      </c>
      <c r="I49" s="12">
        <v>159</v>
      </c>
      <c r="J49" s="13">
        <v>275</v>
      </c>
      <c r="K49" s="13">
        <v>319</v>
      </c>
      <c r="L49" s="13">
        <v>129</v>
      </c>
      <c r="M49" s="13">
        <v>377</v>
      </c>
      <c r="N49" s="13">
        <v>1200</v>
      </c>
      <c r="O49" s="13">
        <v>920</v>
      </c>
      <c r="P49" s="12">
        <v>1659</v>
      </c>
      <c r="Q49" s="12">
        <v>1561</v>
      </c>
      <c r="R49" s="12">
        <v>3220</v>
      </c>
      <c r="S49" s="7">
        <v>14888.293296150001</v>
      </c>
      <c r="T49" s="7">
        <v>9565.2397104899992</v>
      </c>
      <c r="U49" s="7">
        <v>3739.669159</v>
      </c>
      <c r="V49" s="7">
        <v>33.072270000000003</v>
      </c>
      <c r="AE49" s="7">
        <v>1067.4830261213592</v>
      </c>
      <c r="AF49" s="7">
        <v>12085</v>
      </c>
      <c r="AG49" s="7">
        <v>221</v>
      </c>
      <c r="AI49" s="7">
        <v>830</v>
      </c>
      <c r="AJ49" s="7">
        <v>1682</v>
      </c>
      <c r="AK49" s="7">
        <v>2600</v>
      </c>
      <c r="AL49" s="7">
        <v>3200</v>
      </c>
      <c r="AM49" s="2">
        <v>249</v>
      </c>
      <c r="AN49" s="2">
        <v>428</v>
      </c>
      <c r="AO49" s="2">
        <v>2</v>
      </c>
      <c r="AP49" s="2">
        <v>4</v>
      </c>
      <c r="AQ49" s="2">
        <v>1</v>
      </c>
      <c r="AR49" s="2">
        <v>1</v>
      </c>
      <c r="AS49" s="2">
        <v>0</v>
      </c>
      <c r="AT49" s="2">
        <v>285</v>
      </c>
      <c r="AU49" s="2">
        <v>17</v>
      </c>
      <c r="AV49" s="2">
        <v>1550</v>
      </c>
      <c r="AW49" s="1">
        <v>4</v>
      </c>
      <c r="AX49" s="1" t="s">
        <v>272</v>
      </c>
      <c r="AY49" s="2">
        <v>2</v>
      </c>
    </row>
    <row r="50" spans="1:51" x14ac:dyDescent="0.2">
      <c r="A50" s="1" t="s">
        <v>109</v>
      </c>
      <c r="B50" s="1" t="s">
        <v>108</v>
      </c>
      <c r="C50" s="1" t="s">
        <v>28</v>
      </c>
      <c r="D50" s="6">
        <v>21.628240143009101</v>
      </c>
      <c r="E50" s="8">
        <v>3</v>
      </c>
      <c r="F50" s="8">
        <v>18</v>
      </c>
      <c r="G50" s="8">
        <v>2</v>
      </c>
      <c r="H50" s="12">
        <v>5</v>
      </c>
      <c r="I50" s="12">
        <v>17</v>
      </c>
      <c r="J50" s="13">
        <v>91</v>
      </c>
      <c r="K50" s="13">
        <v>122</v>
      </c>
      <c r="L50" s="13">
        <v>59</v>
      </c>
      <c r="M50" s="13">
        <v>138</v>
      </c>
      <c r="N50" s="13">
        <v>534</v>
      </c>
      <c r="O50" s="13">
        <v>253</v>
      </c>
      <c r="P50" s="12">
        <v>620</v>
      </c>
      <c r="Q50" s="12">
        <v>577</v>
      </c>
      <c r="R50" s="12">
        <v>1197</v>
      </c>
      <c r="S50" s="7">
        <v>465.72763910000003</v>
      </c>
      <c r="T50" s="7">
        <v>8.9748599599999999</v>
      </c>
      <c r="U50" s="7">
        <v>452.29127499999998</v>
      </c>
      <c r="V50" s="7">
        <v>0</v>
      </c>
      <c r="AE50" s="7">
        <v>1525.5174</v>
      </c>
      <c r="AF50" s="7">
        <v>2400</v>
      </c>
      <c r="AG50" s="7">
        <v>31</v>
      </c>
      <c r="AI50" s="7">
        <v>1180</v>
      </c>
      <c r="AK50" s="7">
        <v>10</v>
      </c>
      <c r="AL50" s="7">
        <v>530</v>
      </c>
      <c r="AM50" s="2">
        <v>239</v>
      </c>
      <c r="AN50" s="2">
        <v>159</v>
      </c>
      <c r="AO50" s="2">
        <v>1</v>
      </c>
      <c r="AP50" s="2">
        <v>1</v>
      </c>
      <c r="AQ50" s="2">
        <v>1</v>
      </c>
      <c r="AR50" s="2">
        <v>1</v>
      </c>
      <c r="AS50" s="2">
        <v>0</v>
      </c>
      <c r="AT50" s="2">
        <v>83</v>
      </c>
      <c r="AU50" s="2">
        <v>12</v>
      </c>
      <c r="AV50" s="2">
        <v>831</v>
      </c>
      <c r="AW50" s="1">
        <v>2</v>
      </c>
      <c r="AX50" s="1" t="s">
        <v>270</v>
      </c>
      <c r="AY50" s="2">
        <v>1</v>
      </c>
    </row>
    <row r="51" spans="1:51" x14ac:dyDescent="0.2">
      <c r="A51" s="1" t="s">
        <v>111</v>
      </c>
      <c r="B51" s="1" t="s">
        <v>110</v>
      </c>
      <c r="C51" s="1" t="s">
        <v>112</v>
      </c>
      <c r="D51" s="6">
        <v>59.805814977673073</v>
      </c>
      <c r="E51" s="8">
        <v>6</v>
      </c>
      <c r="F51" s="8">
        <v>72</v>
      </c>
      <c r="G51" s="8">
        <v>0</v>
      </c>
      <c r="H51" s="12">
        <v>8</v>
      </c>
      <c r="I51" s="12">
        <v>34</v>
      </c>
      <c r="J51" s="13">
        <v>353</v>
      </c>
      <c r="K51" s="13">
        <v>332</v>
      </c>
      <c r="L51" s="13">
        <v>132</v>
      </c>
      <c r="M51" s="13">
        <v>456</v>
      </c>
      <c r="N51" s="13">
        <v>1573</v>
      </c>
      <c r="O51" s="13">
        <v>884</v>
      </c>
      <c r="P51" s="12">
        <v>2026</v>
      </c>
      <c r="Q51" s="12">
        <v>1704</v>
      </c>
      <c r="R51" s="12">
        <v>3730</v>
      </c>
      <c r="S51" s="7">
        <v>8037.3735346599997</v>
      </c>
      <c r="T51" s="7">
        <v>17445.409599669998</v>
      </c>
      <c r="U51" s="7">
        <v>3991.6191669999998</v>
      </c>
      <c r="AE51" s="7">
        <v>7706.6520465373378</v>
      </c>
      <c r="AF51" s="7">
        <v>17956</v>
      </c>
      <c r="AG51" s="7">
        <v>210</v>
      </c>
      <c r="AI51" s="7">
        <v>355</v>
      </c>
      <c r="AJ51" s="7">
        <v>8</v>
      </c>
      <c r="AK51" s="7">
        <v>230</v>
      </c>
      <c r="AL51" s="7">
        <v>380</v>
      </c>
      <c r="AM51" s="2">
        <v>255</v>
      </c>
      <c r="AN51" s="2">
        <v>499</v>
      </c>
      <c r="AO51" s="2">
        <v>1</v>
      </c>
      <c r="AP51" s="2">
        <v>1</v>
      </c>
      <c r="AQ51" s="2">
        <v>2</v>
      </c>
      <c r="AR51" s="2">
        <v>1</v>
      </c>
      <c r="AS51" s="2">
        <v>6</v>
      </c>
      <c r="AT51" s="2">
        <v>415</v>
      </c>
      <c r="AU51" s="2">
        <v>26</v>
      </c>
      <c r="AV51" s="2">
        <v>2412</v>
      </c>
      <c r="AW51" s="1">
        <v>3</v>
      </c>
      <c r="AX51" s="1" t="s">
        <v>272</v>
      </c>
      <c r="AY51" s="2">
        <v>6</v>
      </c>
    </row>
    <row r="52" spans="1:51" x14ac:dyDescent="0.2">
      <c r="A52" s="1" t="s">
        <v>114</v>
      </c>
      <c r="B52" s="1" t="s">
        <v>113</v>
      </c>
      <c r="C52" s="1" t="s">
        <v>41</v>
      </c>
      <c r="D52" s="6">
        <v>82.255749533929247</v>
      </c>
      <c r="E52" s="8">
        <v>22</v>
      </c>
      <c r="F52" s="8">
        <v>92</v>
      </c>
      <c r="G52" s="8">
        <v>11</v>
      </c>
      <c r="H52" s="12">
        <v>27</v>
      </c>
      <c r="I52" s="12">
        <v>103</v>
      </c>
      <c r="J52" s="13">
        <v>434</v>
      </c>
      <c r="K52" s="13">
        <v>548</v>
      </c>
      <c r="L52" s="13">
        <v>210</v>
      </c>
      <c r="M52" s="13">
        <v>556</v>
      </c>
      <c r="N52" s="13">
        <v>2073</v>
      </c>
      <c r="O52" s="13">
        <v>1534</v>
      </c>
      <c r="P52" s="12">
        <v>2725</v>
      </c>
      <c r="Q52" s="12">
        <v>2630</v>
      </c>
      <c r="R52" s="12">
        <v>5355</v>
      </c>
      <c r="S52" s="7">
        <v>126656.72127833001</v>
      </c>
      <c r="T52" s="7">
        <v>18861.644138159994</v>
      </c>
      <c r="U52" s="7">
        <v>5675.1801020000003</v>
      </c>
      <c r="V52" s="7">
        <v>85.574299999999994</v>
      </c>
      <c r="AE52" s="7">
        <v>4568.5032543956913</v>
      </c>
      <c r="AF52" s="7">
        <v>10725</v>
      </c>
      <c r="AG52" s="7">
        <v>194</v>
      </c>
      <c r="AH52" s="7">
        <v>5</v>
      </c>
      <c r="AI52" s="7">
        <v>370</v>
      </c>
      <c r="AJ52" s="7">
        <v>65</v>
      </c>
      <c r="AK52" s="7">
        <v>255</v>
      </c>
      <c r="AL52" s="7">
        <v>840</v>
      </c>
      <c r="AM52" s="2">
        <v>262</v>
      </c>
      <c r="AN52" s="2">
        <v>560</v>
      </c>
      <c r="AO52" s="2">
        <v>1</v>
      </c>
      <c r="AP52" s="2">
        <v>3</v>
      </c>
      <c r="AQ52" s="2">
        <v>1</v>
      </c>
      <c r="AR52" s="2">
        <v>1</v>
      </c>
      <c r="AS52" s="2">
        <v>0</v>
      </c>
      <c r="AT52" s="2">
        <v>346</v>
      </c>
      <c r="AU52" s="2">
        <v>6</v>
      </c>
      <c r="AV52" s="2">
        <v>2617</v>
      </c>
      <c r="AW52" s="1">
        <v>3</v>
      </c>
      <c r="AX52" s="1" t="s">
        <v>272</v>
      </c>
      <c r="AY52" s="2">
        <v>4</v>
      </c>
    </row>
    <row r="53" spans="1:51" x14ac:dyDescent="0.2">
      <c r="A53" s="1" t="s">
        <v>116</v>
      </c>
      <c r="B53" s="1" t="s">
        <v>115</v>
      </c>
      <c r="C53" s="1" t="s">
        <v>28</v>
      </c>
      <c r="D53" s="6">
        <v>137.94695720971794</v>
      </c>
      <c r="E53" s="8">
        <v>44</v>
      </c>
      <c r="F53" s="8">
        <v>91</v>
      </c>
      <c r="G53" s="8">
        <v>11</v>
      </c>
      <c r="H53" s="12">
        <v>13</v>
      </c>
      <c r="I53" s="12">
        <v>164</v>
      </c>
      <c r="J53" s="13">
        <v>527</v>
      </c>
      <c r="K53" s="13">
        <v>770</v>
      </c>
      <c r="L53" s="13">
        <v>297</v>
      </c>
      <c r="M53" s="13">
        <v>689</v>
      </c>
      <c r="N53" s="13">
        <v>2549</v>
      </c>
      <c r="O53" s="13">
        <v>1246</v>
      </c>
      <c r="P53" s="12">
        <v>3388</v>
      </c>
      <c r="Q53" s="12">
        <v>2690</v>
      </c>
      <c r="R53" s="12">
        <v>6078</v>
      </c>
      <c r="S53" s="7">
        <v>117289.46040062001</v>
      </c>
      <c r="T53" s="7">
        <v>63.094802560000005</v>
      </c>
      <c r="U53" s="7">
        <v>4551.9942789999996</v>
      </c>
      <c r="V53" s="7">
        <v>9.5240329999999993</v>
      </c>
      <c r="AE53" s="7">
        <v>38050.070841121495</v>
      </c>
      <c r="AF53" s="7">
        <v>5848</v>
      </c>
      <c r="AG53" s="7">
        <v>934</v>
      </c>
      <c r="AI53" s="7">
        <v>475</v>
      </c>
      <c r="AJ53" s="7">
        <v>6</v>
      </c>
      <c r="AK53" s="7">
        <v>9</v>
      </c>
      <c r="AL53" s="7">
        <v>880</v>
      </c>
      <c r="AM53" s="2">
        <v>235.66666666666666</v>
      </c>
      <c r="AN53" s="2">
        <v>750</v>
      </c>
      <c r="AO53" s="2">
        <v>3</v>
      </c>
      <c r="AP53" s="2">
        <v>3</v>
      </c>
      <c r="AQ53" s="2">
        <v>2</v>
      </c>
      <c r="AR53" s="2">
        <v>2</v>
      </c>
      <c r="AS53" s="2">
        <v>5</v>
      </c>
      <c r="AT53" s="2">
        <v>421</v>
      </c>
      <c r="AU53" s="2">
        <v>16</v>
      </c>
      <c r="AV53" s="2">
        <v>4057</v>
      </c>
      <c r="AW53" s="1">
        <v>4</v>
      </c>
      <c r="AX53" s="1" t="s">
        <v>273</v>
      </c>
      <c r="AY53" s="2">
        <v>1</v>
      </c>
    </row>
    <row r="54" spans="1:51" x14ac:dyDescent="0.2">
      <c r="A54" s="1" t="s">
        <v>118</v>
      </c>
      <c r="B54" s="1" t="s">
        <v>117</v>
      </c>
      <c r="C54" s="1" t="s">
        <v>16</v>
      </c>
      <c r="D54" s="6">
        <v>220.78359946533723</v>
      </c>
      <c r="E54" s="8">
        <v>53</v>
      </c>
      <c r="F54" s="8">
        <v>411</v>
      </c>
      <c r="G54" s="8">
        <v>76</v>
      </c>
      <c r="H54" s="12">
        <v>71</v>
      </c>
      <c r="I54" s="12">
        <v>456</v>
      </c>
      <c r="J54" s="13">
        <v>764</v>
      </c>
      <c r="K54" s="13">
        <v>1053</v>
      </c>
      <c r="L54" s="13">
        <v>397</v>
      </c>
      <c r="M54" s="13">
        <v>1097</v>
      </c>
      <c r="N54" s="13">
        <v>4060</v>
      </c>
      <c r="O54" s="13">
        <v>2110</v>
      </c>
      <c r="P54" s="12">
        <v>4786</v>
      </c>
      <c r="Q54" s="12">
        <v>4695</v>
      </c>
      <c r="R54" s="12">
        <v>9481</v>
      </c>
      <c r="S54" s="7">
        <v>64699.187547910005</v>
      </c>
      <c r="T54" s="7">
        <v>48223.606444869998</v>
      </c>
      <c r="U54" s="7">
        <v>8204.8446280000007</v>
      </c>
      <c r="V54" s="7">
        <v>485.30713700000001</v>
      </c>
      <c r="W54" s="7">
        <v>22</v>
      </c>
      <c r="X54" s="7">
        <v>14</v>
      </c>
      <c r="Y54" s="7">
        <v>29</v>
      </c>
      <c r="Z54" s="7">
        <v>33</v>
      </c>
      <c r="AA54" s="7">
        <v>26</v>
      </c>
      <c r="AB54" s="7">
        <v>45</v>
      </c>
      <c r="AC54" s="7">
        <v>21</v>
      </c>
      <c r="AD54" s="7">
        <v>52</v>
      </c>
      <c r="AE54" s="7">
        <v>42505.491473150643</v>
      </c>
      <c r="AF54" s="7">
        <v>18276</v>
      </c>
      <c r="AG54" s="7">
        <v>710</v>
      </c>
      <c r="AH54" s="7">
        <v>6</v>
      </c>
      <c r="AI54" s="7">
        <v>367</v>
      </c>
      <c r="AJ54" s="7">
        <v>38</v>
      </c>
      <c r="AK54" s="7">
        <v>100</v>
      </c>
      <c r="AL54" s="7">
        <v>530</v>
      </c>
      <c r="AM54" s="2">
        <v>275</v>
      </c>
      <c r="AN54" s="2">
        <v>1426</v>
      </c>
      <c r="AO54" s="2">
        <v>3</v>
      </c>
      <c r="AP54" s="2">
        <v>16</v>
      </c>
      <c r="AQ54" s="2">
        <v>3</v>
      </c>
      <c r="AR54" s="2">
        <v>4</v>
      </c>
      <c r="AS54" s="2">
        <v>19</v>
      </c>
      <c r="AT54" s="2">
        <v>2004</v>
      </c>
      <c r="AU54" s="2">
        <v>284</v>
      </c>
      <c r="AV54" s="2">
        <v>5452</v>
      </c>
      <c r="AW54" s="1">
        <v>6</v>
      </c>
      <c r="AX54" s="1" t="s">
        <v>270</v>
      </c>
      <c r="AY54" s="2">
        <v>2</v>
      </c>
    </row>
    <row r="55" spans="1:51" x14ac:dyDescent="0.2">
      <c r="A55" s="1" t="s">
        <v>120</v>
      </c>
      <c r="B55" s="1" t="s">
        <v>119</v>
      </c>
      <c r="C55" s="1" t="s">
        <v>7</v>
      </c>
      <c r="D55" s="6">
        <v>117.83286584833996</v>
      </c>
      <c r="E55" s="8">
        <v>22</v>
      </c>
      <c r="F55" s="8">
        <v>82</v>
      </c>
      <c r="G55" s="8">
        <v>2</v>
      </c>
      <c r="H55" s="12">
        <v>24</v>
      </c>
      <c r="I55" s="12">
        <v>314</v>
      </c>
      <c r="J55" s="13">
        <v>537</v>
      </c>
      <c r="K55" s="13">
        <v>642</v>
      </c>
      <c r="L55" s="13">
        <v>232</v>
      </c>
      <c r="M55" s="13">
        <v>636</v>
      </c>
      <c r="N55" s="13">
        <v>1924</v>
      </c>
      <c r="O55" s="13">
        <v>973</v>
      </c>
      <c r="P55" s="12">
        <v>2401</v>
      </c>
      <c r="Q55" s="12">
        <v>2543</v>
      </c>
      <c r="R55" s="12">
        <v>4944</v>
      </c>
      <c r="S55" s="7">
        <v>508124.65405395994</v>
      </c>
      <c r="T55" s="7">
        <v>145.00355162</v>
      </c>
      <c r="U55" s="7">
        <v>5095.2944900000002</v>
      </c>
      <c r="V55" s="7">
        <v>121.82834699999999</v>
      </c>
      <c r="AE55" s="7">
        <v>4350.2388155358585</v>
      </c>
      <c r="AF55" s="7">
        <v>9971</v>
      </c>
      <c r="AG55" s="7">
        <v>22</v>
      </c>
      <c r="AI55" s="7">
        <v>1135</v>
      </c>
      <c r="AJ55" s="7">
        <v>220</v>
      </c>
      <c r="AK55" s="7">
        <v>4400</v>
      </c>
      <c r="AL55" s="7">
        <v>730</v>
      </c>
      <c r="AM55" s="2">
        <v>235.5</v>
      </c>
      <c r="AN55" s="2">
        <v>749</v>
      </c>
      <c r="AO55" s="2">
        <v>2</v>
      </c>
      <c r="AP55" s="2">
        <v>2</v>
      </c>
      <c r="AQ55" s="2">
        <v>1</v>
      </c>
      <c r="AR55" s="2">
        <v>1</v>
      </c>
      <c r="AS55" s="2">
        <v>0</v>
      </c>
      <c r="AT55" s="2">
        <v>875</v>
      </c>
      <c r="AU55" s="2">
        <v>6</v>
      </c>
      <c r="AV55" s="2">
        <v>2485</v>
      </c>
      <c r="AW55" s="1">
        <v>5</v>
      </c>
      <c r="AX55" s="1" t="s">
        <v>272</v>
      </c>
      <c r="AY55" s="2">
        <v>1</v>
      </c>
    </row>
    <row r="56" spans="1:51" x14ac:dyDescent="0.2">
      <c r="A56" s="1" t="s">
        <v>122</v>
      </c>
      <c r="B56" s="1" t="s">
        <v>121</v>
      </c>
      <c r="C56" s="1" t="s">
        <v>7</v>
      </c>
      <c r="D56" s="6">
        <v>65.598517448474311</v>
      </c>
      <c r="E56" s="8">
        <v>35</v>
      </c>
      <c r="F56" s="8">
        <v>204</v>
      </c>
      <c r="G56" s="8">
        <v>11</v>
      </c>
      <c r="H56" s="12">
        <v>30</v>
      </c>
      <c r="I56" s="12">
        <v>149</v>
      </c>
      <c r="J56" s="13">
        <v>457</v>
      </c>
      <c r="K56" s="13">
        <v>586</v>
      </c>
      <c r="L56" s="13">
        <v>221</v>
      </c>
      <c r="M56" s="13">
        <v>588</v>
      </c>
      <c r="N56" s="13">
        <v>1759</v>
      </c>
      <c r="O56" s="13">
        <v>874</v>
      </c>
      <c r="P56" s="12">
        <v>2123</v>
      </c>
      <c r="Q56" s="12">
        <v>2362</v>
      </c>
      <c r="R56" s="12">
        <v>4485</v>
      </c>
      <c r="S56" s="7">
        <v>31601.267382429996</v>
      </c>
      <c r="T56" s="7">
        <v>122.44994564</v>
      </c>
      <c r="U56" s="7">
        <v>2894.6213120000002</v>
      </c>
      <c r="V56" s="7">
        <v>39.04815</v>
      </c>
      <c r="W56" s="7">
        <v>35</v>
      </c>
      <c r="X56" s="7">
        <v>88</v>
      </c>
      <c r="Y56" s="7">
        <v>50</v>
      </c>
      <c r="Z56" s="7">
        <v>1</v>
      </c>
      <c r="AA56" s="7">
        <v>13</v>
      </c>
      <c r="AB56" s="7">
        <v>1</v>
      </c>
      <c r="AC56" s="7">
        <v>87</v>
      </c>
      <c r="AD56" s="7">
        <v>47</v>
      </c>
      <c r="AE56" s="7">
        <v>2678.691642113306</v>
      </c>
      <c r="AF56" s="7">
        <v>4872</v>
      </c>
      <c r="AG56" s="7">
        <v>71</v>
      </c>
      <c r="AH56" s="7">
        <v>6</v>
      </c>
      <c r="AI56" s="7">
        <v>1260</v>
      </c>
      <c r="AJ56" s="7">
        <v>26</v>
      </c>
      <c r="AK56" s="7">
        <v>710</v>
      </c>
      <c r="AL56" s="7">
        <v>450</v>
      </c>
      <c r="AM56" s="2">
        <v>261.5</v>
      </c>
      <c r="AN56" s="2">
        <v>899</v>
      </c>
      <c r="AO56" s="2">
        <v>2</v>
      </c>
      <c r="AP56" s="2">
        <v>1</v>
      </c>
      <c r="AQ56" s="2">
        <v>1</v>
      </c>
      <c r="AR56" s="2">
        <v>2</v>
      </c>
      <c r="AS56" s="2">
        <v>6</v>
      </c>
      <c r="AT56" s="2">
        <v>847</v>
      </c>
      <c r="AU56" s="2">
        <v>9</v>
      </c>
      <c r="AV56" s="2">
        <v>2429</v>
      </c>
      <c r="AW56" s="1">
        <v>3</v>
      </c>
      <c r="AX56" s="1" t="s">
        <v>272</v>
      </c>
      <c r="AY56" s="2">
        <v>2</v>
      </c>
    </row>
    <row r="57" spans="1:51" x14ac:dyDescent="0.2">
      <c r="A57" s="1" t="s">
        <v>124</v>
      </c>
      <c r="B57" s="1" t="s">
        <v>123</v>
      </c>
      <c r="C57" s="1" t="s">
        <v>10</v>
      </c>
      <c r="D57" s="6">
        <v>501.79863325788654</v>
      </c>
      <c r="E57" s="8">
        <v>218</v>
      </c>
      <c r="F57" s="8">
        <v>932</v>
      </c>
      <c r="G57" s="8">
        <v>226</v>
      </c>
      <c r="H57" s="12">
        <v>194</v>
      </c>
      <c r="I57" s="12">
        <v>894</v>
      </c>
      <c r="J57" s="13">
        <v>2083</v>
      </c>
      <c r="K57" s="13">
        <v>2747</v>
      </c>
      <c r="L57" s="13">
        <v>1057</v>
      </c>
      <c r="M57" s="13">
        <v>2910</v>
      </c>
      <c r="N57" s="13">
        <v>10127</v>
      </c>
      <c r="O57" s="13">
        <v>5432</v>
      </c>
      <c r="P57" s="12">
        <v>12081</v>
      </c>
      <c r="Q57" s="12">
        <v>12275</v>
      </c>
      <c r="R57" s="12">
        <v>24356</v>
      </c>
      <c r="S57" s="7">
        <v>202640.59398512004</v>
      </c>
      <c r="T57" s="7">
        <v>72107.620011229999</v>
      </c>
      <c r="U57" s="7">
        <v>14458.418581</v>
      </c>
      <c r="V57" s="7">
        <v>387.834565</v>
      </c>
      <c r="W57" s="7">
        <v>42</v>
      </c>
      <c r="X57" s="7">
        <v>48</v>
      </c>
      <c r="Y57" s="7">
        <v>52</v>
      </c>
      <c r="Z57" s="7">
        <v>49</v>
      </c>
      <c r="AA57" s="7">
        <v>38</v>
      </c>
      <c r="AB57" s="7">
        <v>27</v>
      </c>
      <c r="AC57" s="7">
        <v>48</v>
      </c>
      <c r="AD57" s="7">
        <v>33</v>
      </c>
      <c r="AE57" s="7">
        <v>159770</v>
      </c>
      <c r="AF57" s="7">
        <v>14223</v>
      </c>
      <c r="AG57" s="7">
        <v>2.4740000000000002</v>
      </c>
      <c r="AH57" s="7">
        <v>22</v>
      </c>
      <c r="AI57" s="7">
        <v>238</v>
      </c>
      <c r="AJ57" s="7">
        <v>255</v>
      </c>
      <c r="AK57" s="7">
        <v>186</v>
      </c>
      <c r="AL57" s="7">
        <v>527280</v>
      </c>
      <c r="AM57" s="2">
        <v>261.625</v>
      </c>
      <c r="AN57" s="2">
        <v>3818</v>
      </c>
      <c r="AO57" s="2">
        <v>11</v>
      </c>
      <c r="AP57" s="2">
        <v>28</v>
      </c>
      <c r="AQ57" s="2">
        <v>3</v>
      </c>
      <c r="AR57" s="2">
        <v>9</v>
      </c>
      <c r="AS57" s="2">
        <v>49</v>
      </c>
      <c r="AT57" s="2">
        <v>9876</v>
      </c>
      <c r="AU57" s="2">
        <v>896</v>
      </c>
      <c r="AV57" s="2">
        <v>19186</v>
      </c>
      <c r="AW57" s="1">
        <v>8</v>
      </c>
      <c r="AX57" s="1" t="s">
        <v>271</v>
      </c>
      <c r="AY57" s="2">
        <v>15</v>
      </c>
    </row>
    <row r="58" spans="1:51" x14ac:dyDescent="0.2">
      <c r="A58" s="1" t="s">
        <v>126</v>
      </c>
      <c r="B58" s="1" t="s">
        <v>125</v>
      </c>
      <c r="C58" s="1" t="s">
        <v>46</v>
      </c>
      <c r="D58" s="6">
        <v>129.14479693532095</v>
      </c>
      <c r="E58" s="8">
        <v>38</v>
      </c>
      <c r="F58" s="8">
        <v>80</v>
      </c>
      <c r="G58" s="8">
        <v>26</v>
      </c>
      <c r="H58" s="12">
        <v>31</v>
      </c>
      <c r="I58" s="12">
        <v>310</v>
      </c>
      <c r="J58" s="13">
        <v>755</v>
      </c>
      <c r="K58" s="13">
        <v>847</v>
      </c>
      <c r="L58" s="13">
        <v>290</v>
      </c>
      <c r="M58" s="13">
        <v>839</v>
      </c>
      <c r="N58" s="13">
        <v>2398</v>
      </c>
      <c r="O58" s="13">
        <v>892</v>
      </c>
      <c r="P58" s="12">
        <v>2963</v>
      </c>
      <c r="Q58" s="12">
        <v>3058</v>
      </c>
      <c r="R58" s="12">
        <v>6021</v>
      </c>
      <c r="S58" s="7">
        <v>129.41927145</v>
      </c>
      <c r="T58" s="7">
        <v>350.07674741999995</v>
      </c>
      <c r="U58" s="7">
        <v>9421.7436899999993</v>
      </c>
      <c r="V58" s="7">
        <v>24.118576999999998</v>
      </c>
      <c r="AE58" s="7">
        <v>28045.393910444665</v>
      </c>
      <c r="AF58" s="7">
        <v>8065</v>
      </c>
      <c r="AG58" s="7">
        <v>230</v>
      </c>
      <c r="AI58" s="7">
        <v>1959</v>
      </c>
      <c r="AJ58" s="7">
        <v>37</v>
      </c>
      <c r="AK58" s="7">
        <v>845</v>
      </c>
      <c r="AL58" s="7">
        <v>76450</v>
      </c>
      <c r="AM58" s="2">
        <v>240.5</v>
      </c>
      <c r="AN58" s="2">
        <v>859</v>
      </c>
      <c r="AO58" s="2">
        <v>4</v>
      </c>
      <c r="AP58" s="2">
        <v>1</v>
      </c>
      <c r="AQ58" s="2">
        <v>1</v>
      </c>
      <c r="AR58" s="2">
        <v>1</v>
      </c>
      <c r="AS58" s="2">
        <v>0</v>
      </c>
      <c r="AT58" s="2">
        <v>595</v>
      </c>
      <c r="AU58" s="2">
        <v>7</v>
      </c>
      <c r="AV58" s="2">
        <v>3625</v>
      </c>
      <c r="AW58" s="1">
        <v>5</v>
      </c>
      <c r="AX58" s="1" t="s">
        <v>270</v>
      </c>
      <c r="AY58" s="2">
        <v>4</v>
      </c>
    </row>
    <row r="59" spans="1:51" x14ac:dyDescent="0.2">
      <c r="A59" s="1" t="s">
        <v>128</v>
      </c>
      <c r="B59" s="1" t="s">
        <v>127</v>
      </c>
      <c r="C59" s="1" t="s">
        <v>28</v>
      </c>
      <c r="D59" s="6">
        <v>154.6285185166299</v>
      </c>
      <c r="E59" s="8">
        <v>69</v>
      </c>
      <c r="F59" s="8">
        <v>271</v>
      </c>
      <c r="G59" s="8">
        <v>69</v>
      </c>
      <c r="H59" s="12">
        <v>33</v>
      </c>
      <c r="I59" s="12">
        <v>180</v>
      </c>
      <c r="J59" s="13">
        <v>824</v>
      </c>
      <c r="K59" s="13">
        <v>1134</v>
      </c>
      <c r="L59" s="13">
        <v>435</v>
      </c>
      <c r="M59" s="13">
        <v>1264</v>
      </c>
      <c r="N59" s="13">
        <v>3985</v>
      </c>
      <c r="O59" s="13">
        <v>1452</v>
      </c>
      <c r="P59" s="12">
        <v>4866</v>
      </c>
      <c r="Q59" s="12">
        <v>4228</v>
      </c>
      <c r="R59" s="12">
        <v>9094</v>
      </c>
      <c r="S59" s="7">
        <v>81836.589631919982</v>
      </c>
      <c r="T59" s="7">
        <v>22962.415554290001</v>
      </c>
      <c r="U59" s="7">
        <v>2248.6960159999999</v>
      </c>
      <c r="V59" s="7">
        <v>6.6383979999999996</v>
      </c>
      <c r="AE59" s="7">
        <v>8500.9806590020144</v>
      </c>
      <c r="AF59" s="7">
        <v>7388</v>
      </c>
      <c r="AG59" s="7">
        <v>150</v>
      </c>
      <c r="AI59" s="7">
        <v>460</v>
      </c>
      <c r="AJ59" s="7">
        <v>3</v>
      </c>
      <c r="AK59" s="7">
        <v>10</v>
      </c>
      <c r="AL59" s="7">
        <v>470</v>
      </c>
      <c r="AM59" s="2">
        <v>252</v>
      </c>
      <c r="AN59" s="2">
        <v>1407</v>
      </c>
      <c r="AO59" s="2">
        <v>4</v>
      </c>
      <c r="AP59" s="2">
        <v>3</v>
      </c>
      <c r="AQ59" s="2">
        <v>2</v>
      </c>
      <c r="AR59" s="2">
        <v>3</v>
      </c>
      <c r="AS59" s="2">
        <v>8</v>
      </c>
      <c r="AT59" s="2">
        <v>1240</v>
      </c>
      <c r="AU59" s="2">
        <v>41</v>
      </c>
      <c r="AV59" s="2">
        <v>5881</v>
      </c>
      <c r="AW59" s="1">
        <v>4</v>
      </c>
      <c r="AX59" s="1" t="s">
        <v>271</v>
      </c>
      <c r="AY59" s="2">
        <v>5</v>
      </c>
    </row>
    <row r="60" spans="1:51" x14ac:dyDescent="0.2">
      <c r="A60" s="1" t="s">
        <v>130</v>
      </c>
      <c r="B60" s="1" t="s">
        <v>129</v>
      </c>
      <c r="C60" s="1" t="s">
        <v>7</v>
      </c>
      <c r="D60" s="6">
        <v>2181.6649725954398</v>
      </c>
      <c r="E60" s="8">
        <v>174</v>
      </c>
      <c r="F60" s="8">
        <v>761</v>
      </c>
      <c r="G60" s="8">
        <v>36</v>
      </c>
      <c r="H60" s="12">
        <v>186</v>
      </c>
      <c r="I60" s="12">
        <v>4051</v>
      </c>
      <c r="J60" s="13">
        <v>1613</v>
      </c>
      <c r="K60" s="13">
        <v>1988</v>
      </c>
      <c r="L60" s="13">
        <v>787</v>
      </c>
      <c r="M60" s="13">
        <v>2479</v>
      </c>
      <c r="N60" s="13">
        <v>7665</v>
      </c>
      <c r="O60" s="13">
        <v>2802</v>
      </c>
      <c r="P60" s="12">
        <v>8369</v>
      </c>
      <c r="Q60" s="12">
        <v>8965</v>
      </c>
      <c r="R60" s="12">
        <v>17334</v>
      </c>
      <c r="S60" s="7">
        <v>5537.2359123699998</v>
      </c>
      <c r="T60" s="7">
        <v>9669.3160268699994</v>
      </c>
      <c r="U60" s="7">
        <v>5354.7367400000003</v>
      </c>
      <c r="V60" s="7">
        <v>386.244641</v>
      </c>
      <c r="W60" s="7">
        <v>1</v>
      </c>
      <c r="X60" s="7">
        <v>34</v>
      </c>
      <c r="Y60" s="7">
        <v>45</v>
      </c>
      <c r="Z60" s="7">
        <v>5</v>
      </c>
      <c r="AA60" s="7">
        <v>1</v>
      </c>
      <c r="AB60" s="7">
        <v>34</v>
      </c>
      <c r="AC60" s="7">
        <v>45</v>
      </c>
      <c r="AD60" s="7">
        <v>1</v>
      </c>
      <c r="AE60" s="7">
        <v>8986.2172234669742</v>
      </c>
      <c r="AF60" s="7">
        <v>2083</v>
      </c>
      <c r="AG60" s="7">
        <v>118</v>
      </c>
      <c r="AI60" s="7">
        <v>158</v>
      </c>
      <c r="AJ60" s="7">
        <v>154</v>
      </c>
      <c r="AK60" s="7">
        <v>467</v>
      </c>
      <c r="AL60" s="7">
        <v>75280</v>
      </c>
      <c r="AM60" s="2">
        <v>297.25</v>
      </c>
      <c r="AN60" s="2">
        <v>3447</v>
      </c>
      <c r="AO60" s="2">
        <v>9</v>
      </c>
      <c r="AP60" s="2">
        <v>6</v>
      </c>
      <c r="AQ60" s="2">
        <v>2</v>
      </c>
      <c r="AR60" s="2">
        <v>2</v>
      </c>
      <c r="AS60" s="2">
        <v>0</v>
      </c>
      <c r="AT60" s="2">
        <v>3818</v>
      </c>
      <c r="AU60" s="2">
        <v>10</v>
      </c>
      <c r="AV60" s="2">
        <v>5507</v>
      </c>
      <c r="AW60" s="1">
        <v>7</v>
      </c>
      <c r="AX60" s="1" t="s">
        <v>270</v>
      </c>
      <c r="AY60" s="2">
        <v>2</v>
      </c>
    </row>
    <row r="61" spans="1:51" x14ac:dyDescent="0.2">
      <c r="A61" s="1" t="s">
        <v>132</v>
      </c>
      <c r="B61" s="1" t="s">
        <v>131</v>
      </c>
      <c r="C61" s="1" t="s">
        <v>25</v>
      </c>
      <c r="D61" s="6">
        <v>178.34906345070411</v>
      </c>
      <c r="E61" s="8">
        <v>19</v>
      </c>
      <c r="F61" s="8">
        <v>122</v>
      </c>
      <c r="G61" s="8">
        <v>21</v>
      </c>
      <c r="H61" s="12">
        <v>24</v>
      </c>
      <c r="I61" s="12">
        <v>57</v>
      </c>
      <c r="J61" s="13">
        <v>506</v>
      </c>
      <c r="K61" s="13">
        <v>666</v>
      </c>
      <c r="L61" s="13">
        <v>253</v>
      </c>
      <c r="M61" s="13">
        <v>608</v>
      </c>
      <c r="N61" s="13">
        <v>2265</v>
      </c>
      <c r="O61" s="13">
        <v>1195</v>
      </c>
      <c r="P61" s="12">
        <v>2834</v>
      </c>
      <c r="Q61" s="12">
        <v>2659</v>
      </c>
      <c r="R61" s="12">
        <v>5493</v>
      </c>
      <c r="S61" s="7">
        <v>7173.7798184399999</v>
      </c>
      <c r="T61" s="7">
        <v>20680.191481870002</v>
      </c>
      <c r="U61" s="7">
        <v>5577.1858140000004</v>
      </c>
      <c r="V61" s="7">
        <v>27.9</v>
      </c>
      <c r="AE61" s="7">
        <v>22974.128690341182</v>
      </c>
      <c r="AF61" s="7">
        <v>3129</v>
      </c>
      <c r="AG61" s="7">
        <v>3</v>
      </c>
      <c r="AH61" s="7">
        <v>1</v>
      </c>
      <c r="AI61" s="7">
        <v>430</v>
      </c>
      <c r="AJ61" s="7">
        <v>15</v>
      </c>
      <c r="AK61" s="7">
        <v>378</v>
      </c>
      <c r="AL61" s="7">
        <v>500</v>
      </c>
      <c r="AM61" s="2">
        <v>257</v>
      </c>
      <c r="AN61" s="2">
        <v>826</v>
      </c>
      <c r="AO61" s="2">
        <v>3</v>
      </c>
      <c r="AP61" s="2">
        <v>2</v>
      </c>
      <c r="AQ61" s="2">
        <v>1</v>
      </c>
      <c r="AR61" s="2">
        <v>1</v>
      </c>
      <c r="AS61" s="2">
        <v>0</v>
      </c>
      <c r="AT61" s="2">
        <v>309</v>
      </c>
      <c r="AU61" s="2">
        <v>9</v>
      </c>
      <c r="AV61" s="2">
        <v>3970</v>
      </c>
      <c r="AW61" s="1">
        <v>8</v>
      </c>
      <c r="AX61" s="1" t="s">
        <v>271</v>
      </c>
      <c r="AY61" s="2">
        <v>9</v>
      </c>
    </row>
    <row r="62" spans="1:51" x14ac:dyDescent="0.2">
      <c r="A62" s="1" t="s">
        <v>134</v>
      </c>
      <c r="B62" s="1" t="s">
        <v>133</v>
      </c>
      <c r="C62" s="1" t="s">
        <v>46</v>
      </c>
      <c r="D62" s="6">
        <v>56.60750860962888</v>
      </c>
      <c r="E62" s="8">
        <v>29</v>
      </c>
      <c r="F62" s="8">
        <v>80</v>
      </c>
      <c r="G62" s="8">
        <v>18</v>
      </c>
      <c r="H62" s="12">
        <v>25</v>
      </c>
      <c r="I62" s="12">
        <v>137</v>
      </c>
      <c r="J62" s="13">
        <v>298</v>
      </c>
      <c r="K62" s="13">
        <v>376</v>
      </c>
      <c r="L62" s="13">
        <v>145</v>
      </c>
      <c r="M62" s="13">
        <v>403</v>
      </c>
      <c r="N62" s="13">
        <v>1209</v>
      </c>
      <c r="O62" s="13">
        <v>616</v>
      </c>
      <c r="P62" s="12">
        <v>1540</v>
      </c>
      <c r="Q62" s="12">
        <v>1507</v>
      </c>
      <c r="R62" s="12">
        <v>3047</v>
      </c>
      <c r="S62" s="7">
        <v>7540.2660489999998</v>
      </c>
      <c r="T62" s="7">
        <v>156.47804764999998</v>
      </c>
      <c r="U62" s="7">
        <v>2739.4586770000001</v>
      </c>
      <c r="V62" s="7">
        <v>76.817920000000001</v>
      </c>
      <c r="AE62" s="7">
        <v>5338.8696206241093</v>
      </c>
      <c r="AF62" s="7">
        <v>5858</v>
      </c>
      <c r="AG62" s="7">
        <v>298</v>
      </c>
      <c r="AI62" s="7">
        <v>480</v>
      </c>
      <c r="AJ62" s="7">
        <v>37</v>
      </c>
      <c r="AK62" s="7">
        <v>510</v>
      </c>
      <c r="AL62" s="7">
        <v>4850</v>
      </c>
      <c r="AM62" s="2">
        <v>282</v>
      </c>
      <c r="AN62" s="2">
        <v>485</v>
      </c>
      <c r="AO62" s="2">
        <v>3</v>
      </c>
      <c r="AP62" s="2">
        <v>3</v>
      </c>
      <c r="AQ62" s="2">
        <v>1</v>
      </c>
      <c r="AR62" s="2">
        <v>1</v>
      </c>
      <c r="AS62" s="2">
        <v>74</v>
      </c>
      <c r="AT62" s="2">
        <v>465</v>
      </c>
      <c r="AU62" s="2">
        <v>3</v>
      </c>
      <c r="AV62" s="2">
        <v>1480</v>
      </c>
      <c r="AW62" s="1">
        <v>3</v>
      </c>
      <c r="AX62" s="1" t="s">
        <v>270</v>
      </c>
      <c r="AY62" s="2">
        <v>3</v>
      </c>
    </row>
    <row r="63" spans="1:51" x14ac:dyDescent="0.2">
      <c r="A63" s="1" t="s">
        <v>136</v>
      </c>
      <c r="B63" s="1" t="s">
        <v>135</v>
      </c>
      <c r="C63" s="1" t="s">
        <v>28</v>
      </c>
      <c r="D63" s="6">
        <v>130.51132866169681</v>
      </c>
      <c r="E63" s="8">
        <v>102</v>
      </c>
      <c r="F63" s="8">
        <v>308</v>
      </c>
      <c r="G63" s="8">
        <v>106</v>
      </c>
      <c r="H63" s="12">
        <v>31</v>
      </c>
      <c r="I63" s="12">
        <v>283</v>
      </c>
      <c r="J63" s="13">
        <v>875</v>
      </c>
      <c r="K63" s="13">
        <v>1176</v>
      </c>
      <c r="L63" s="13">
        <v>440</v>
      </c>
      <c r="M63" s="13">
        <v>1113</v>
      </c>
      <c r="N63" s="13">
        <v>3657</v>
      </c>
      <c r="O63" s="13">
        <v>1352</v>
      </c>
      <c r="P63" s="12">
        <v>4418</v>
      </c>
      <c r="Q63" s="12">
        <v>4195</v>
      </c>
      <c r="R63" s="12">
        <v>8613</v>
      </c>
      <c r="S63" s="7">
        <v>47144.593630859992</v>
      </c>
      <c r="T63" s="7">
        <v>19662.968840960002</v>
      </c>
      <c r="U63" s="7">
        <v>3902.3694019999998</v>
      </c>
      <c r="V63" s="7">
        <v>61.423662999999998</v>
      </c>
      <c r="AE63" s="7">
        <v>6973.15</v>
      </c>
      <c r="AF63" s="7">
        <v>15964</v>
      </c>
      <c r="AG63" s="7">
        <v>241</v>
      </c>
      <c r="AH63" s="7">
        <v>5</v>
      </c>
      <c r="AI63" s="7">
        <v>992</v>
      </c>
      <c r="AJ63" s="7">
        <v>16</v>
      </c>
      <c r="AK63" s="7">
        <v>90</v>
      </c>
      <c r="AL63" s="7">
        <v>530</v>
      </c>
      <c r="AM63" s="2">
        <v>219.33333333333334</v>
      </c>
      <c r="AN63" s="2">
        <v>1318</v>
      </c>
      <c r="AO63" s="2">
        <v>3</v>
      </c>
      <c r="AP63" s="2">
        <v>2</v>
      </c>
      <c r="AQ63" s="2">
        <v>2</v>
      </c>
      <c r="AR63" s="2">
        <v>2</v>
      </c>
      <c r="AS63" s="2">
        <v>4</v>
      </c>
      <c r="AT63" s="2">
        <v>1096</v>
      </c>
      <c r="AU63" s="2">
        <v>59</v>
      </c>
      <c r="AV63" s="2">
        <v>5481</v>
      </c>
      <c r="AW63" s="1">
        <v>3</v>
      </c>
      <c r="AX63" s="1" t="s">
        <v>271</v>
      </c>
      <c r="AY63" s="2">
        <v>3</v>
      </c>
    </row>
    <row r="64" spans="1:51" x14ac:dyDescent="0.2">
      <c r="A64" s="1" t="s">
        <v>138</v>
      </c>
      <c r="B64" s="1" t="s">
        <v>137</v>
      </c>
      <c r="C64" s="1" t="s">
        <v>41</v>
      </c>
      <c r="D64" s="6">
        <v>86.428064579354583</v>
      </c>
      <c r="E64" s="8">
        <v>4</v>
      </c>
      <c r="F64" s="8">
        <v>44</v>
      </c>
      <c r="G64" s="8">
        <v>9</v>
      </c>
      <c r="H64" s="12">
        <v>9</v>
      </c>
      <c r="I64" s="12">
        <v>32</v>
      </c>
      <c r="J64" s="13">
        <v>170</v>
      </c>
      <c r="K64" s="13">
        <v>255</v>
      </c>
      <c r="L64" s="13">
        <v>98</v>
      </c>
      <c r="M64" s="13">
        <v>199</v>
      </c>
      <c r="N64" s="13">
        <v>971</v>
      </c>
      <c r="O64" s="13">
        <v>925</v>
      </c>
      <c r="P64" s="12">
        <v>1345</v>
      </c>
      <c r="Q64" s="12">
        <v>1273</v>
      </c>
      <c r="R64" s="12">
        <v>2618</v>
      </c>
      <c r="S64" s="7">
        <v>15796.260416310002</v>
      </c>
      <c r="T64" s="7">
        <v>107.32982989999999</v>
      </c>
      <c r="U64" s="7">
        <v>4469.0178539999997</v>
      </c>
      <c r="V64" s="7">
        <v>90.004019999999997</v>
      </c>
      <c r="AE64" s="7">
        <v>9253.4425174825174</v>
      </c>
      <c r="AF64" s="7">
        <v>6071</v>
      </c>
      <c r="AG64" s="7">
        <v>533</v>
      </c>
      <c r="AH64" s="7">
        <v>5</v>
      </c>
      <c r="AI64" s="7">
        <v>786</v>
      </c>
      <c r="AJ64" s="7">
        <v>94</v>
      </c>
      <c r="AK64" s="7">
        <v>53</v>
      </c>
      <c r="AM64" s="2">
        <v>249</v>
      </c>
      <c r="AN64" s="2">
        <v>271</v>
      </c>
      <c r="AO64" s="2">
        <v>1</v>
      </c>
      <c r="AP64" s="2">
        <v>1</v>
      </c>
      <c r="AQ64" s="2">
        <v>1</v>
      </c>
      <c r="AR64" s="2">
        <v>0</v>
      </c>
      <c r="AS64" s="2">
        <v>0</v>
      </c>
      <c r="AT64" s="2">
        <v>153</v>
      </c>
      <c r="AU64" s="2">
        <v>1</v>
      </c>
      <c r="AV64" s="2">
        <v>1337</v>
      </c>
      <c r="AW64" s="1">
        <v>5</v>
      </c>
      <c r="AX64" s="1" t="s">
        <v>272</v>
      </c>
      <c r="AY64" s="2">
        <v>1</v>
      </c>
    </row>
    <row r="65" spans="1:51" x14ac:dyDescent="0.2">
      <c r="A65" s="1" t="s">
        <v>140</v>
      </c>
      <c r="B65" s="1" t="s">
        <v>139</v>
      </c>
      <c r="C65" s="1" t="s">
        <v>16</v>
      </c>
      <c r="D65" s="6">
        <v>70.620605512334478</v>
      </c>
      <c r="E65" s="8">
        <v>10</v>
      </c>
      <c r="F65" s="8">
        <v>110</v>
      </c>
      <c r="G65" s="8">
        <v>15</v>
      </c>
      <c r="H65" s="12">
        <v>23</v>
      </c>
      <c r="I65" s="12">
        <v>79</v>
      </c>
      <c r="J65" s="13">
        <v>369</v>
      </c>
      <c r="K65" s="13">
        <v>403</v>
      </c>
      <c r="L65" s="13">
        <v>146</v>
      </c>
      <c r="M65" s="13">
        <v>454</v>
      </c>
      <c r="N65" s="13">
        <v>1411</v>
      </c>
      <c r="O65" s="13">
        <v>696</v>
      </c>
      <c r="P65" s="12">
        <v>1850</v>
      </c>
      <c r="Q65" s="12">
        <v>1629</v>
      </c>
      <c r="R65" s="12">
        <v>3479</v>
      </c>
      <c r="S65" s="7">
        <v>22145.280692230004</v>
      </c>
      <c r="T65" s="7">
        <v>10146.85906336</v>
      </c>
      <c r="U65" s="7">
        <v>4415.4253070000004</v>
      </c>
      <c r="V65" s="7">
        <v>0</v>
      </c>
      <c r="W65" s="7">
        <v>58</v>
      </c>
      <c r="X65" s="7">
        <v>20</v>
      </c>
      <c r="Y65" s="7">
        <v>87</v>
      </c>
      <c r="Z65" s="7">
        <v>83</v>
      </c>
      <c r="AA65" s="7">
        <v>6</v>
      </c>
      <c r="AB65" s="7">
        <v>84</v>
      </c>
      <c r="AC65" s="7">
        <v>22</v>
      </c>
      <c r="AD65" s="7">
        <v>38</v>
      </c>
      <c r="AE65" s="7">
        <v>4105.0499999999993</v>
      </c>
      <c r="AF65" s="7">
        <v>20092</v>
      </c>
      <c r="AG65" s="7">
        <v>217</v>
      </c>
      <c r="AH65" s="7">
        <v>8</v>
      </c>
      <c r="AI65" s="7">
        <v>178</v>
      </c>
      <c r="AJ65" s="7">
        <v>17</v>
      </c>
      <c r="AK65" s="7">
        <v>90</v>
      </c>
      <c r="AL65" s="7">
        <v>4670</v>
      </c>
      <c r="AM65" s="2">
        <v>277</v>
      </c>
      <c r="AN65" s="2">
        <v>527</v>
      </c>
      <c r="AO65" s="2">
        <v>1</v>
      </c>
      <c r="AP65" s="2">
        <v>1</v>
      </c>
      <c r="AQ65" s="2">
        <v>1</v>
      </c>
      <c r="AR65" s="2">
        <v>1</v>
      </c>
      <c r="AS65" s="2">
        <v>0</v>
      </c>
      <c r="AT65" s="2">
        <v>320</v>
      </c>
      <c r="AU65" s="2">
        <v>57</v>
      </c>
      <c r="AV65" s="2">
        <v>2102</v>
      </c>
      <c r="AW65" s="1">
        <v>4</v>
      </c>
      <c r="AX65" s="1" t="s">
        <v>272</v>
      </c>
    </row>
    <row r="66" spans="1:51" x14ac:dyDescent="0.2">
      <c r="A66" s="1" t="s">
        <v>142</v>
      </c>
      <c r="B66" s="1" t="s">
        <v>141</v>
      </c>
      <c r="C66" s="1" t="s">
        <v>13</v>
      </c>
      <c r="D66" s="6">
        <v>1055.6665561299944</v>
      </c>
      <c r="E66" s="8">
        <v>375</v>
      </c>
      <c r="F66" s="8">
        <v>2115</v>
      </c>
      <c r="G66" s="8">
        <v>308</v>
      </c>
      <c r="H66" s="12">
        <v>617</v>
      </c>
      <c r="I66" s="12">
        <v>4166</v>
      </c>
      <c r="J66" s="13">
        <v>3178</v>
      </c>
      <c r="K66" s="13">
        <v>4290</v>
      </c>
      <c r="L66" s="13">
        <v>1727</v>
      </c>
      <c r="M66" s="13">
        <v>4914</v>
      </c>
      <c r="N66" s="13">
        <v>15822</v>
      </c>
      <c r="O66" s="13">
        <v>6498</v>
      </c>
      <c r="P66" s="12">
        <v>17661</v>
      </c>
      <c r="Q66" s="12">
        <v>18768</v>
      </c>
      <c r="R66" s="12">
        <v>36429</v>
      </c>
      <c r="S66" s="7">
        <v>147668.94013333</v>
      </c>
      <c r="T66" s="7">
        <v>225710.23361354004</v>
      </c>
      <c r="U66" s="7">
        <v>12960.075697</v>
      </c>
      <c r="V66" s="7">
        <v>776.50912400000004</v>
      </c>
      <c r="W66" s="7">
        <v>8</v>
      </c>
      <c r="X66" s="7">
        <v>7</v>
      </c>
      <c r="Y66" s="7">
        <v>12</v>
      </c>
      <c r="Z66" s="7">
        <v>42</v>
      </c>
      <c r="AA66" s="7">
        <v>12</v>
      </c>
      <c r="AB66" s="7">
        <v>3</v>
      </c>
      <c r="AC66" s="7">
        <v>18</v>
      </c>
      <c r="AD66" s="7">
        <v>23</v>
      </c>
      <c r="AE66" s="7">
        <v>7926.8526106635345</v>
      </c>
      <c r="AF66" s="7">
        <v>25456</v>
      </c>
      <c r="AG66" s="7">
        <v>1.0740000000000001</v>
      </c>
      <c r="AH66" s="7">
        <v>9</v>
      </c>
      <c r="AI66" s="7">
        <v>1754</v>
      </c>
      <c r="AJ66" s="7">
        <v>184</v>
      </c>
      <c r="AK66" s="7">
        <v>646</v>
      </c>
      <c r="AL66" s="7">
        <v>80230</v>
      </c>
      <c r="AM66" s="2">
        <v>306.16666666666669</v>
      </c>
      <c r="AN66" s="2">
        <v>6636</v>
      </c>
      <c r="AO66" s="2">
        <v>16</v>
      </c>
      <c r="AP66" s="2">
        <v>53</v>
      </c>
      <c r="AQ66" s="2">
        <v>6</v>
      </c>
      <c r="AR66" s="2">
        <v>12</v>
      </c>
      <c r="AS66" s="2">
        <v>93</v>
      </c>
      <c r="AT66" s="2">
        <v>19219</v>
      </c>
      <c r="AU66" s="2">
        <v>101</v>
      </c>
      <c r="AV66" s="2">
        <v>16694</v>
      </c>
      <c r="AW66" s="1">
        <v>16</v>
      </c>
      <c r="AX66" s="1" t="s">
        <v>270</v>
      </c>
      <c r="AY66" s="2">
        <v>13</v>
      </c>
    </row>
    <row r="67" spans="1:51" x14ac:dyDescent="0.2">
      <c r="A67" s="1" t="s">
        <v>144</v>
      </c>
      <c r="B67" s="1" t="s">
        <v>143</v>
      </c>
      <c r="C67" s="1" t="s">
        <v>112</v>
      </c>
      <c r="D67" s="6">
        <v>48.398678711368348</v>
      </c>
      <c r="E67" s="8">
        <v>20</v>
      </c>
      <c r="F67" s="8">
        <v>57</v>
      </c>
      <c r="G67" s="8">
        <v>3</v>
      </c>
      <c r="H67" s="12">
        <v>7</v>
      </c>
      <c r="I67" s="12">
        <v>25</v>
      </c>
      <c r="J67" s="13">
        <v>279</v>
      </c>
      <c r="K67" s="13">
        <v>306</v>
      </c>
      <c r="L67" s="13">
        <v>111</v>
      </c>
      <c r="M67" s="13">
        <v>351</v>
      </c>
      <c r="N67" s="13">
        <v>1070</v>
      </c>
      <c r="O67" s="13">
        <v>427</v>
      </c>
      <c r="P67" s="12">
        <v>1326</v>
      </c>
      <c r="Q67" s="12">
        <v>1218</v>
      </c>
      <c r="R67" s="12">
        <v>2544</v>
      </c>
      <c r="S67" s="7">
        <v>32418.281209640001</v>
      </c>
      <c r="T67" s="7">
        <v>21013.105765510001</v>
      </c>
      <c r="U67" s="7">
        <v>2624.0145809999999</v>
      </c>
      <c r="AE67" s="7">
        <v>189</v>
      </c>
      <c r="AF67" s="7">
        <v>9077</v>
      </c>
      <c r="AG67" s="7">
        <v>153</v>
      </c>
      <c r="AH67" s="7">
        <v>1</v>
      </c>
      <c r="AI67" s="7">
        <v>1350</v>
      </c>
      <c r="AJ67" s="7">
        <v>21</v>
      </c>
      <c r="AK67" s="7">
        <v>78</v>
      </c>
      <c r="AL67" s="7">
        <v>90080</v>
      </c>
      <c r="AM67" s="2">
        <v>230</v>
      </c>
      <c r="AN67" s="2">
        <v>341</v>
      </c>
      <c r="AO67" s="2">
        <v>1</v>
      </c>
      <c r="AP67" s="2">
        <v>1</v>
      </c>
      <c r="AQ67" s="2">
        <v>2</v>
      </c>
      <c r="AR67" s="2">
        <v>1</v>
      </c>
      <c r="AS67" s="2">
        <v>0</v>
      </c>
      <c r="AT67" s="2">
        <v>395</v>
      </c>
      <c r="AU67" s="2">
        <v>10</v>
      </c>
      <c r="AV67" s="2">
        <v>1316</v>
      </c>
      <c r="AW67" s="1">
        <v>3</v>
      </c>
      <c r="AX67" s="1" t="s">
        <v>270</v>
      </c>
      <c r="AY67" s="2">
        <v>3</v>
      </c>
    </row>
    <row r="68" spans="1:51" x14ac:dyDescent="0.2">
      <c r="A68" s="1" t="s">
        <v>146</v>
      </c>
      <c r="B68" s="1" t="s">
        <v>145</v>
      </c>
      <c r="C68" s="1" t="s">
        <v>49</v>
      </c>
      <c r="D68" s="6">
        <v>37.782644695429696</v>
      </c>
      <c r="E68" s="8">
        <v>10</v>
      </c>
      <c r="F68" s="8">
        <v>75</v>
      </c>
      <c r="G68" s="8">
        <v>9</v>
      </c>
      <c r="H68" s="12">
        <v>4</v>
      </c>
      <c r="I68" s="12">
        <v>29</v>
      </c>
      <c r="J68" s="13">
        <v>191</v>
      </c>
      <c r="K68" s="13">
        <v>213</v>
      </c>
      <c r="L68" s="13">
        <v>80</v>
      </c>
      <c r="M68" s="13">
        <v>191</v>
      </c>
      <c r="N68" s="13">
        <v>718</v>
      </c>
      <c r="O68" s="13">
        <v>421</v>
      </c>
      <c r="P68" s="12">
        <v>877</v>
      </c>
      <c r="Q68" s="12">
        <v>937</v>
      </c>
      <c r="R68" s="12">
        <v>1814</v>
      </c>
      <c r="S68" s="7">
        <v>2.8147199999999997E-3</v>
      </c>
      <c r="T68" s="7">
        <v>125.95804709000001</v>
      </c>
      <c r="U68" s="7">
        <v>1373.1499449999999</v>
      </c>
      <c r="V68" s="7">
        <v>3.13</v>
      </c>
      <c r="AE68" s="7">
        <v>4054.6699999999996</v>
      </c>
      <c r="AF68" s="7">
        <v>3780</v>
      </c>
      <c r="AG68" s="7">
        <v>87</v>
      </c>
      <c r="AI68" s="7">
        <v>320</v>
      </c>
      <c r="AJ68" s="7">
        <v>390</v>
      </c>
      <c r="AK68" s="7">
        <v>1250</v>
      </c>
      <c r="AL68" s="7">
        <v>2680</v>
      </c>
      <c r="AM68" s="2">
        <v>258</v>
      </c>
      <c r="AN68" s="2">
        <v>291</v>
      </c>
      <c r="AO68" s="2">
        <v>1</v>
      </c>
      <c r="AP68" s="2">
        <v>1</v>
      </c>
      <c r="AQ68" s="2">
        <v>1</v>
      </c>
      <c r="AR68" s="2">
        <v>1</v>
      </c>
      <c r="AS68" s="2">
        <v>0</v>
      </c>
      <c r="AT68" s="2">
        <v>142</v>
      </c>
      <c r="AU68" s="2">
        <v>14</v>
      </c>
      <c r="AV68" s="2">
        <v>1165</v>
      </c>
      <c r="AW68" s="1">
        <v>4</v>
      </c>
      <c r="AX68" s="1" t="s">
        <v>271</v>
      </c>
      <c r="AY68" s="2">
        <v>4</v>
      </c>
    </row>
    <row r="69" spans="1:51" x14ac:dyDescent="0.2">
      <c r="A69" s="1" t="s">
        <v>148</v>
      </c>
      <c r="B69" s="1" t="s">
        <v>147</v>
      </c>
      <c r="C69" s="1" t="s">
        <v>28</v>
      </c>
      <c r="D69" s="6">
        <v>255.22755888998302</v>
      </c>
      <c r="E69" s="8">
        <v>33</v>
      </c>
      <c r="F69" s="8">
        <v>180</v>
      </c>
      <c r="G69" s="8">
        <v>30</v>
      </c>
      <c r="H69" s="12">
        <v>13</v>
      </c>
      <c r="I69" s="12">
        <v>115</v>
      </c>
      <c r="J69" s="13">
        <v>536</v>
      </c>
      <c r="K69" s="13">
        <v>923</v>
      </c>
      <c r="L69" s="13">
        <v>361</v>
      </c>
      <c r="M69" s="13">
        <v>796</v>
      </c>
      <c r="N69" s="13">
        <v>3217</v>
      </c>
      <c r="O69" s="13">
        <v>1794</v>
      </c>
      <c r="P69" s="12">
        <v>3943</v>
      </c>
      <c r="Q69" s="12">
        <v>3684</v>
      </c>
      <c r="R69" s="12">
        <v>7627</v>
      </c>
      <c r="S69" s="7">
        <v>13185.751766079999</v>
      </c>
      <c r="T69" s="7">
        <v>27013.194633799998</v>
      </c>
      <c r="U69" s="7">
        <v>6407.7162770000004</v>
      </c>
      <c r="V69" s="7">
        <v>28.709356</v>
      </c>
      <c r="AE69" s="7">
        <v>32927.619999999995</v>
      </c>
      <c r="AF69" s="7">
        <v>10402</v>
      </c>
      <c r="AG69" s="7">
        <v>741</v>
      </c>
      <c r="AH69" s="7">
        <v>3</v>
      </c>
      <c r="AI69" s="7">
        <v>2120</v>
      </c>
      <c r="AJ69" s="7">
        <v>20</v>
      </c>
      <c r="AK69" s="7">
        <v>76</v>
      </c>
      <c r="AL69" s="7">
        <v>230</v>
      </c>
      <c r="AM69" s="2">
        <v>243.66666666666666</v>
      </c>
      <c r="AN69" s="2">
        <v>1157</v>
      </c>
      <c r="AO69" s="2">
        <v>3</v>
      </c>
      <c r="AP69" s="2">
        <v>4</v>
      </c>
      <c r="AQ69" s="2">
        <v>1</v>
      </c>
      <c r="AR69" s="2">
        <v>2</v>
      </c>
      <c r="AS69" s="2">
        <v>4</v>
      </c>
      <c r="AT69" s="2">
        <v>564</v>
      </c>
      <c r="AU69" s="2">
        <v>33</v>
      </c>
      <c r="AV69" s="2">
        <v>5044</v>
      </c>
      <c r="AW69" s="1">
        <v>4</v>
      </c>
      <c r="AX69" s="1" t="s">
        <v>271</v>
      </c>
      <c r="AY69" s="2">
        <v>6</v>
      </c>
    </row>
    <row r="70" spans="1:51" x14ac:dyDescent="0.2">
      <c r="A70" s="1" t="s">
        <v>150</v>
      </c>
      <c r="B70" s="1" t="s">
        <v>149</v>
      </c>
      <c r="C70" s="1" t="s">
        <v>112</v>
      </c>
      <c r="D70" s="6">
        <v>35.030072674615191</v>
      </c>
      <c r="E70" s="8">
        <v>6</v>
      </c>
      <c r="F70" s="8">
        <v>30</v>
      </c>
      <c r="G70" s="8">
        <v>0</v>
      </c>
      <c r="H70" s="12">
        <v>6</v>
      </c>
      <c r="I70" s="12">
        <v>33</v>
      </c>
      <c r="J70" s="13">
        <v>356</v>
      </c>
      <c r="K70" s="13">
        <v>421</v>
      </c>
      <c r="L70" s="13">
        <v>155</v>
      </c>
      <c r="M70" s="13">
        <v>437</v>
      </c>
      <c r="N70" s="13">
        <v>1091</v>
      </c>
      <c r="O70" s="13">
        <v>335</v>
      </c>
      <c r="P70" s="12">
        <v>1473</v>
      </c>
      <c r="Q70" s="12">
        <v>1322</v>
      </c>
      <c r="R70" s="12">
        <v>2795</v>
      </c>
      <c r="S70" s="7">
        <v>23.44938938</v>
      </c>
      <c r="T70" s="7">
        <v>3.6197571699999997</v>
      </c>
      <c r="U70" s="7">
        <v>1250.2256</v>
      </c>
      <c r="AE70" s="7">
        <v>1852.15</v>
      </c>
      <c r="AF70" s="7">
        <v>8910</v>
      </c>
      <c r="AG70" s="7">
        <v>89</v>
      </c>
      <c r="AH70" s="7">
        <v>15</v>
      </c>
      <c r="AI70" s="7">
        <v>345</v>
      </c>
      <c r="AJ70" s="7">
        <v>3</v>
      </c>
      <c r="AK70" s="7">
        <v>230</v>
      </c>
      <c r="AL70" s="7">
        <v>220</v>
      </c>
      <c r="AM70" s="2">
        <v>246.5</v>
      </c>
      <c r="AN70" s="2">
        <v>415</v>
      </c>
      <c r="AO70" s="2">
        <v>2</v>
      </c>
      <c r="AP70" s="2">
        <v>2</v>
      </c>
      <c r="AQ70" s="2">
        <v>2</v>
      </c>
      <c r="AR70" s="2">
        <v>2</v>
      </c>
      <c r="AS70" s="2">
        <v>0</v>
      </c>
      <c r="AT70" s="2">
        <v>151</v>
      </c>
      <c r="AU70" s="2">
        <v>15</v>
      </c>
      <c r="AV70" s="2">
        <v>1710</v>
      </c>
      <c r="AW70" s="1">
        <v>3</v>
      </c>
      <c r="AX70" s="1" t="s">
        <v>270</v>
      </c>
      <c r="AY70" s="2">
        <v>1</v>
      </c>
    </row>
    <row r="71" spans="1:51" x14ac:dyDescent="0.2">
      <c r="A71" s="1" t="s">
        <v>152</v>
      </c>
      <c r="B71" s="1" t="s">
        <v>151</v>
      </c>
      <c r="C71" s="1" t="s">
        <v>19</v>
      </c>
      <c r="D71" s="6">
        <v>102.68936349496721</v>
      </c>
      <c r="E71" s="8">
        <v>26</v>
      </c>
      <c r="F71" s="8">
        <v>291</v>
      </c>
      <c r="G71" s="8">
        <v>18</v>
      </c>
      <c r="H71" s="12">
        <v>72</v>
      </c>
      <c r="I71" s="12">
        <v>855</v>
      </c>
      <c r="J71" s="13">
        <v>396</v>
      </c>
      <c r="K71" s="13">
        <v>508</v>
      </c>
      <c r="L71" s="13">
        <v>192</v>
      </c>
      <c r="M71" s="13">
        <v>556</v>
      </c>
      <c r="N71" s="13">
        <v>1847</v>
      </c>
      <c r="O71" s="13">
        <v>1016</v>
      </c>
      <c r="P71" s="12">
        <v>2229</v>
      </c>
      <c r="Q71" s="12">
        <v>2286</v>
      </c>
      <c r="R71" s="12">
        <v>4515</v>
      </c>
      <c r="S71" s="7">
        <v>27495.65989545</v>
      </c>
      <c r="T71" s="7">
        <v>14873.940268299999</v>
      </c>
      <c r="U71" s="7">
        <v>1954.69137</v>
      </c>
      <c r="V71" s="7">
        <v>155.95717200000001</v>
      </c>
      <c r="W71" s="7">
        <v>19</v>
      </c>
      <c r="X71" s="7">
        <v>1</v>
      </c>
      <c r="Y71" s="7">
        <v>34</v>
      </c>
      <c r="Z71" s="7">
        <v>34</v>
      </c>
      <c r="AA71" s="7">
        <v>58</v>
      </c>
      <c r="AB71" s="7">
        <v>75</v>
      </c>
      <c r="AC71" s="7">
        <v>17</v>
      </c>
      <c r="AD71" s="7">
        <v>15</v>
      </c>
      <c r="AE71" s="7">
        <v>1250.8679694137638</v>
      </c>
      <c r="AF71" s="7">
        <v>2637</v>
      </c>
      <c r="AG71" s="7">
        <v>76</v>
      </c>
      <c r="AI71" s="7">
        <v>236</v>
      </c>
      <c r="AJ71" s="7">
        <v>639</v>
      </c>
      <c r="AK71" s="7">
        <v>944</v>
      </c>
      <c r="AL71" s="7">
        <v>140</v>
      </c>
      <c r="AM71" s="2">
        <v>265</v>
      </c>
      <c r="AN71" s="2">
        <v>661</v>
      </c>
      <c r="AO71" s="2">
        <v>2</v>
      </c>
      <c r="AP71" s="2">
        <v>2</v>
      </c>
      <c r="AQ71" s="2">
        <v>2</v>
      </c>
      <c r="AR71" s="2">
        <v>1</v>
      </c>
      <c r="AS71" s="2">
        <v>0</v>
      </c>
      <c r="AT71" s="2">
        <v>1915</v>
      </c>
      <c r="AU71" s="2">
        <v>25</v>
      </c>
      <c r="AV71" s="2">
        <v>1660</v>
      </c>
      <c r="AW71" s="1">
        <v>3</v>
      </c>
      <c r="AX71" s="1" t="s">
        <v>271</v>
      </c>
      <c r="AY71" s="2">
        <v>7</v>
      </c>
    </row>
    <row r="72" spans="1:51" x14ac:dyDescent="0.2">
      <c r="A72" s="1" t="s">
        <v>154</v>
      </c>
      <c r="B72" s="1" t="s">
        <v>153</v>
      </c>
      <c r="C72" s="1" t="s">
        <v>7</v>
      </c>
      <c r="D72" s="6">
        <v>119.02082748399775</v>
      </c>
      <c r="E72" s="8">
        <v>17</v>
      </c>
      <c r="F72" s="8">
        <v>166</v>
      </c>
      <c r="G72" s="8">
        <v>5</v>
      </c>
      <c r="H72" s="12">
        <v>19</v>
      </c>
      <c r="I72" s="12">
        <v>371</v>
      </c>
      <c r="J72" s="13">
        <v>765</v>
      </c>
      <c r="K72" s="13">
        <v>957</v>
      </c>
      <c r="L72" s="13">
        <v>342</v>
      </c>
      <c r="M72" s="13">
        <v>844</v>
      </c>
      <c r="N72" s="13">
        <v>2742</v>
      </c>
      <c r="O72" s="13">
        <v>1543</v>
      </c>
      <c r="P72" s="12">
        <v>3663</v>
      </c>
      <c r="Q72" s="12">
        <v>3530</v>
      </c>
      <c r="R72" s="12">
        <v>7193</v>
      </c>
      <c r="S72" s="7">
        <v>22639.258978530004</v>
      </c>
      <c r="T72" s="7">
        <v>22196.800641559999</v>
      </c>
      <c r="U72" s="7">
        <v>13584.289525</v>
      </c>
      <c r="V72" s="7">
        <v>128.582393</v>
      </c>
      <c r="W72" s="7">
        <v>67</v>
      </c>
      <c r="X72" s="7">
        <v>65</v>
      </c>
      <c r="Y72" s="7">
        <v>66</v>
      </c>
      <c r="Z72" s="7">
        <v>26</v>
      </c>
      <c r="AA72" s="7">
        <v>74</v>
      </c>
      <c r="AB72" s="7">
        <v>76</v>
      </c>
      <c r="AC72" s="7">
        <v>37</v>
      </c>
      <c r="AD72" s="7">
        <v>80</v>
      </c>
      <c r="AE72" s="7">
        <v>10231.762219832934</v>
      </c>
      <c r="AF72" s="7">
        <v>13485</v>
      </c>
      <c r="AG72" s="7">
        <v>74</v>
      </c>
      <c r="AH72" s="7">
        <v>10</v>
      </c>
      <c r="AI72" s="7">
        <v>739</v>
      </c>
      <c r="AJ72" s="7">
        <v>455</v>
      </c>
      <c r="AK72" s="7">
        <v>2300</v>
      </c>
      <c r="AL72" s="7">
        <v>6170</v>
      </c>
      <c r="AM72" s="2">
        <v>270</v>
      </c>
      <c r="AN72" s="2">
        <v>1135</v>
      </c>
      <c r="AO72" s="2">
        <v>3</v>
      </c>
      <c r="AP72" s="2">
        <v>1</v>
      </c>
      <c r="AQ72" s="2">
        <v>2</v>
      </c>
      <c r="AR72" s="2">
        <v>1</v>
      </c>
      <c r="AS72" s="2">
        <v>0</v>
      </c>
      <c r="AT72" s="2">
        <v>570</v>
      </c>
      <c r="AU72" s="2">
        <v>7</v>
      </c>
      <c r="AV72" s="2">
        <v>5054</v>
      </c>
      <c r="AW72" s="1">
        <v>7</v>
      </c>
      <c r="AX72" s="1" t="s">
        <v>272</v>
      </c>
      <c r="AY72" s="2">
        <v>22</v>
      </c>
    </row>
    <row r="73" spans="1:51" x14ac:dyDescent="0.2">
      <c r="A73" s="1" t="s">
        <v>156</v>
      </c>
      <c r="B73" s="1" t="s">
        <v>155</v>
      </c>
      <c r="C73" s="1" t="s">
        <v>112</v>
      </c>
      <c r="D73" s="6">
        <v>25.165078341114736</v>
      </c>
      <c r="E73" s="8">
        <v>2</v>
      </c>
      <c r="F73" s="8">
        <v>19</v>
      </c>
      <c r="G73" s="8">
        <v>0</v>
      </c>
      <c r="H73" s="12">
        <v>3</v>
      </c>
      <c r="I73" s="12">
        <v>22</v>
      </c>
      <c r="J73" s="13">
        <v>245</v>
      </c>
      <c r="K73" s="13">
        <v>271</v>
      </c>
      <c r="L73" s="13">
        <v>100</v>
      </c>
      <c r="M73" s="13">
        <v>290</v>
      </c>
      <c r="N73" s="13">
        <v>696</v>
      </c>
      <c r="O73" s="13">
        <v>273</v>
      </c>
      <c r="P73" s="12">
        <v>987</v>
      </c>
      <c r="Q73" s="12">
        <v>888</v>
      </c>
      <c r="R73" s="12">
        <v>1875</v>
      </c>
      <c r="S73" s="7">
        <v>0</v>
      </c>
      <c r="T73" s="7">
        <v>0</v>
      </c>
      <c r="U73" s="7">
        <v>1173.368408</v>
      </c>
      <c r="AE73" s="7">
        <v>1221.956355140187</v>
      </c>
      <c r="AF73" s="7">
        <v>5327</v>
      </c>
      <c r="AG73" s="7">
        <v>180</v>
      </c>
      <c r="AI73" s="7">
        <v>305</v>
      </c>
      <c r="AJ73" s="7">
        <v>7</v>
      </c>
      <c r="AK73" s="7">
        <v>205</v>
      </c>
      <c r="AL73" s="7">
        <v>655</v>
      </c>
      <c r="AM73" s="2">
        <v>244</v>
      </c>
      <c r="AN73" s="2">
        <v>276</v>
      </c>
      <c r="AO73" s="2">
        <v>1</v>
      </c>
      <c r="AP73" s="2">
        <v>1</v>
      </c>
      <c r="AQ73" s="2">
        <v>2</v>
      </c>
      <c r="AR73" s="2">
        <v>1</v>
      </c>
      <c r="AS73" s="2">
        <v>0</v>
      </c>
      <c r="AT73" s="2">
        <v>145</v>
      </c>
      <c r="AU73" s="2">
        <v>29</v>
      </c>
      <c r="AV73" s="2">
        <v>1323</v>
      </c>
      <c r="AW73" s="1">
        <v>3</v>
      </c>
      <c r="AX73" s="1" t="s">
        <v>271</v>
      </c>
    </row>
    <row r="74" spans="1:51" x14ac:dyDescent="0.2">
      <c r="A74" s="1" t="s">
        <v>158</v>
      </c>
      <c r="B74" s="1" t="s">
        <v>157</v>
      </c>
      <c r="C74" s="1" t="s">
        <v>28</v>
      </c>
      <c r="D74" s="6">
        <v>3084.5800671697243</v>
      </c>
      <c r="E74" s="8"/>
      <c r="F74" s="8"/>
      <c r="G74" s="8"/>
      <c r="H74" s="12">
        <v>559</v>
      </c>
      <c r="I74" s="12">
        <v>4917</v>
      </c>
      <c r="J74" s="13">
        <v>5523</v>
      </c>
      <c r="K74" s="13">
        <v>6635</v>
      </c>
      <c r="L74" s="13">
        <v>2440</v>
      </c>
      <c r="M74" s="13">
        <v>7066</v>
      </c>
      <c r="N74" s="13">
        <v>22539</v>
      </c>
      <c r="O74" s="13">
        <v>6464</v>
      </c>
      <c r="P74" s="12">
        <v>25120</v>
      </c>
      <c r="Q74" s="12">
        <v>25547</v>
      </c>
      <c r="R74" s="12">
        <v>50667</v>
      </c>
      <c r="S74" s="7">
        <v>148324.78483923004</v>
      </c>
      <c r="T74" s="7">
        <v>267206.17971038999</v>
      </c>
      <c r="U74" s="7">
        <v>19311.047349</v>
      </c>
      <c r="V74" s="7">
        <v>2097.519123</v>
      </c>
      <c r="W74" s="7">
        <v>27</v>
      </c>
      <c r="X74" s="7">
        <v>52</v>
      </c>
      <c r="Y74" s="7">
        <v>22</v>
      </c>
      <c r="Z74" s="7">
        <v>64</v>
      </c>
      <c r="AA74" s="7">
        <v>56</v>
      </c>
      <c r="AB74" s="7">
        <v>32</v>
      </c>
      <c r="AC74" s="7">
        <v>26</v>
      </c>
      <c r="AD74" s="7">
        <v>4</v>
      </c>
      <c r="AE74" s="7">
        <v>6036.67</v>
      </c>
      <c r="AF74" s="7">
        <v>151388</v>
      </c>
      <c r="AG74" s="7">
        <v>1.43</v>
      </c>
      <c r="AH74" s="7">
        <v>5335</v>
      </c>
      <c r="AI74" s="7">
        <v>6057</v>
      </c>
      <c r="AJ74" s="7">
        <v>102</v>
      </c>
      <c r="AK74" s="7">
        <v>2320</v>
      </c>
      <c r="AL74" s="7">
        <v>14150</v>
      </c>
      <c r="AM74" s="2">
        <v>244</v>
      </c>
      <c r="AN74" s="2">
        <v>9747</v>
      </c>
      <c r="AO74" s="2">
        <v>14</v>
      </c>
      <c r="AP74" s="2">
        <v>43</v>
      </c>
      <c r="AQ74" s="2">
        <v>8</v>
      </c>
      <c r="AR74" s="2">
        <v>14</v>
      </c>
      <c r="AS74" s="2">
        <v>39</v>
      </c>
      <c r="AT74" s="2">
        <v>18514</v>
      </c>
      <c r="AU74" s="2">
        <v>703</v>
      </c>
      <c r="AV74" s="2">
        <v>30757</v>
      </c>
      <c r="AW74" s="1">
        <v>7</v>
      </c>
      <c r="AX74" s="1" t="s">
        <v>271</v>
      </c>
      <c r="AY74" s="2">
        <v>5</v>
      </c>
    </row>
    <row r="75" spans="1:51" x14ac:dyDescent="0.2">
      <c r="A75" s="1" t="s">
        <v>160</v>
      </c>
      <c r="B75" s="1" t="s">
        <v>159</v>
      </c>
      <c r="C75" s="1" t="s">
        <v>28</v>
      </c>
      <c r="D75" s="6">
        <v>117.08870960742163</v>
      </c>
      <c r="E75" s="8">
        <v>10</v>
      </c>
      <c r="F75" s="8">
        <v>53</v>
      </c>
      <c r="G75" s="8">
        <v>12</v>
      </c>
      <c r="H75" s="12">
        <v>16</v>
      </c>
      <c r="I75" s="12">
        <v>147</v>
      </c>
      <c r="J75" s="13">
        <v>398</v>
      </c>
      <c r="K75" s="13">
        <v>620</v>
      </c>
      <c r="L75" s="13">
        <v>241</v>
      </c>
      <c r="M75" s="13">
        <v>606</v>
      </c>
      <c r="N75" s="13">
        <v>2267</v>
      </c>
      <c r="O75" s="13">
        <v>1140</v>
      </c>
      <c r="P75" s="12">
        <v>2780</v>
      </c>
      <c r="Q75" s="12">
        <v>2492</v>
      </c>
      <c r="R75" s="12">
        <v>5272</v>
      </c>
      <c r="S75" s="7">
        <v>53457.019591830001</v>
      </c>
      <c r="T75" s="7">
        <v>211.69890719999998</v>
      </c>
      <c r="U75" s="7">
        <v>985.30742099999998</v>
      </c>
      <c r="V75" s="7">
        <v>0</v>
      </c>
      <c r="AE75" s="7">
        <v>19242.989999999998</v>
      </c>
      <c r="AF75" s="7">
        <v>5272</v>
      </c>
      <c r="AG75" s="7">
        <v>56</v>
      </c>
      <c r="AI75" s="7">
        <v>230</v>
      </c>
      <c r="AJ75" s="7">
        <v>11</v>
      </c>
      <c r="AK75" s="7">
        <v>30</v>
      </c>
      <c r="AL75" s="7">
        <v>380</v>
      </c>
      <c r="AM75" s="2">
        <v>252</v>
      </c>
      <c r="AN75" s="2">
        <v>745</v>
      </c>
      <c r="AO75" s="2">
        <v>3</v>
      </c>
      <c r="AP75" s="2">
        <v>2</v>
      </c>
      <c r="AQ75" s="2">
        <v>1</v>
      </c>
      <c r="AR75" s="2">
        <v>2</v>
      </c>
      <c r="AS75" s="2">
        <v>7</v>
      </c>
      <c r="AT75" s="2">
        <v>539</v>
      </c>
      <c r="AU75" s="2">
        <v>29</v>
      </c>
      <c r="AV75" s="2">
        <v>3491</v>
      </c>
      <c r="AW75" s="1">
        <v>3</v>
      </c>
      <c r="AX75" s="1" t="s">
        <v>270</v>
      </c>
      <c r="AY75" s="2">
        <v>2</v>
      </c>
    </row>
    <row r="76" spans="1:51" x14ac:dyDescent="0.2">
      <c r="A76" s="1" t="s">
        <v>162</v>
      </c>
      <c r="B76" s="1" t="s">
        <v>161</v>
      </c>
      <c r="C76" s="1" t="s">
        <v>25</v>
      </c>
      <c r="D76" s="6">
        <v>200.26281359346177</v>
      </c>
      <c r="E76" s="8">
        <v>88</v>
      </c>
      <c r="F76" s="8">
        <v>415</v>
      </c>
      <c r="G76" s="8">
        <v>75</v>
      </c>
      <c r="H76" s="12">
        <v>61</v>
      </c>
      <c r="I76" s="12">
        <v>350</v>
      </c>
      <c r="J76" s="13">
        <v>1007</v>
      </c>
      <c r="K76" s="13">
        <v>1391</v>
      </c>
      <c r="L76" s="13">
        <v>545</v>
      </c>
      <c r="M76" s="13">
        <v>1435</v>
      </c>
      <c r="N76" s="13">
        <v>4317</v>
      </c>
      <c r="O76" s="13">
        <v>1949</v>
      </c>
      <c r="P76" s="12">
        <v>5297</v>
      </c>
      <c r="Q76" s="12">
        <v>5347</v>
      </c>
      <c r="R76" s="12">
        <v>10644</v>
      </c>
      <c r="S76" s="7">
        <v>256903.59975872</v>
      </c>
      <c r="T76" s="7">
        <v>45344.419401939995</v>
      </c>
      <c r="U76" s="7">
        <v>6893.1061760000002</v>
      </c>
      <c r="V76" s="7">
        <v>272.60395</v>
      </c>
      <c r="W76" s="7">
        <v>44</v>
      </c>
      <c r="X76" s="7">
        <v>61</v>
      </c>
      <c r="Y76" s="7">
        <v>31</v>
      </c>
      <c r="Z76" s="7">
        <v>60</v>
      </c>
      <c r="AA76" s="7">
        <v>31</v>
      </c>
      <c r="AB76" s="7">
        <v>37</v>
      </c>
      <c r="AC76" s="7">
        <v>24</v>
      </c>
      <c r="AD76" s="7">
        <v>63</v>
      </c>
      <c r="AE76" s="7">
        <v>15034.275700934579</v>
      </c>
      <c r="AF76" s="7">
        <v>10896</v>
      </c>
      <c r="AG76" s="7">
        <v>1.619</v>
      </c>
      <c r="AH76" s="7">
        <v>3</v>
      </c>
      <c r="AI76" s="7">
        <v>390</v>
      </c>
      <c r="AJ76" s="7">
        <v>23</v>
      </c>
      <c r="AK76" s="7">
        <v>265</v>
      </c>
      <c r="AL76" s="7">
        <v>1920</v>
      </c>
      <c r="AM76" s="2">
        <v>268.25</v>
      </c>
      <c r="AN76" s="2">
        <v>1922</v>
      </c>
      <c r="AO76" s="2">
        <v>6</v>
      </c>
      <c r="AP76" s="2">
        <v>12</v>
      </c>
      <c r="AQ76" s="2">
        <v>2</v>
      </c>
      <c r="AR76" s="2">
        <v>2</v>
      </c>
      <c r="AS76" s="2">
        <v>8</v>
      </c>
      <c r="AT76" s="2">
        <v>1453</v>
      </c>
      <c r="AU76" s="2">
        <v>108</v>
      </c>
      <c r="AV76" s="2">
        <v>7182</v>
      </c>
      <c r="AW76" s="1">
        <v>9</v>
      </c>
      <c r="AX76" s="1" t="s">
        <v>271</v>
      </c>
      <c r="AY76" s="2">
        <v>7</v>
      </c>
    </row>
    <row r="77" spans="1:51" x14ac:dyDescent="0.2">
      <c r="A77" s="1" t="s">
        <v>164</v>
      </c>
      <c r="B77" s="1" t="s">
        <v>163</v>
      </c>
      <c r="C77" s="1" t="s">
        <v>10</v>
      </c>
      <c r="D77" s="6">
        <v>254.27703924928232</v>
      </c>
      <c r="E77" s="8">
        <v>84</v>
      </c>
      <c r="F77" s="8">
        <v>350</v>
      </c>
      <c r="G77" s="8">
        <v>47</v>
      </c>
      <c r="H77" s="12">
        <v>41</v>
      </c>
      <c r="I77" s="12">
        <v>329</v>
      </c>
      <c r="J77" s="13">
        <v>829</v>
      </c>
      <c r="K77" s="13">
        <v>1025</v>
      </c>
      <c r="L77" s="13">
        <v>381</v>
      </c>
      <c r="M77" s="13">
        <v>1177</v>
      </c>
      <c r="N77" s="13">
        <v>3684</v>
      </c>
      <c r="O77" s="13">
        <v>1422</v>
      </c>
      <c r="P77" s="12">
        <v>4520</v>
      </c>
      <c r="Q77" s="12">
        <v>3998</v>
      </c>
      <c r="R77" s="12">
        <v>8518</v>
      </c>
      <c r="S77" s="7">
        <v>79572.362600329987</v>
      </c>
      <c r="T77" s="7">
        <v>376.98164841000005</v>
      </c>
      <c r="U77" s="7">
        <v>4775.169167</v>
      </c>
      <c r="V77" s="7">
        <v>113.712502</v>
      </c>
      <c r="AE77" s="7">
        <v>18431.246983538673</v>
      </c>
      <c r="AF77" s="7">
        <v>5018</v>
      </c>
      <c r="AG77" s="7">
        <v>114</v>
      </c>
      <c r="AI77" s="7">
        <v>435</v>
      </c>
      <c r="AJ77" s="7">
        <v>230</v>
      </c>
      <c r="AK77" s="7">
        <v>233</v>
      </c>
      <c r="AL77" s="7">
        <v>2550</v>
      </c>
      <c r="AM77" s="2">
        <v>267</v>
      </c>
      <c r="AN77" s="2">
        <v>1299</v>
      </c>
      <c r="AO77" s="2">
        <v>2</v>
      </c>
      <c r="AP77" s="2">
        <v>4</v>
      </c>
      <c r="AQ77" s="2">
        <v>2</v>
      </c>
      <c r="AR77" s="2">
        <v>1</v>
      </c>
      <c r="AS77" s="2">
        <v>0</v>
      </c>
      <c r="AT77" s="2">
        <v>931</v>
      </c>
      <c r="AU77" s="2">
        <v>9</v>
      </c>
      <c r="AV77" s="2">
        <v>4594</v>
      </c>
      <c r="AW77" s="1">
        <v>7</v>
      </c>
      <c r="AX77" s="1" t="s">
        <v>271</v>
      </c>
      <c r="AY77" s="2">
        <v>5</v>
      </c>
    </row>
    <row r="78" spans="1:51" x14ac:dyDescent="0.2">
      <c r="A78" s="1" t="s">
        <v>166</v>
      </c>
      <c r="B78" s="1" t="s">
        <v>165</v>
      </c>
      <c r="C78" s="1" t="s">
        <v>25</v>
      </c>
      <c r="D78" s="6">
        <v>46.268827084208937</v>
      </c>
      <c r="E78" s="8">
        <v>9</v>
      </c>
      <c r="F78" s="8">
        <v>32</v>
      </c>
      <c r="G78" s="8">
        <v>9</v>
      </c>
      <c r="H78" s="12">
        <v>7</v>
      </c>
      <c r="I78" s="12">
        <v>24</v>
      </c>
      <c r="J78" s="13">
        <v>225</v>
      </c>
      <c r="K78" s="13">
        <v>327</v>
      </c>
      <c r="L78" s="13">
        <v>115</v>
      </c>
      <c r="M78" s="13">
        <v>259</v>
      </c>
      <c r="N78" s="13">
        <v>927</v>
      </c>
      <c r="O78" s="13">
        <v>695</v>
      </c>
      <c r="P78" s="12">
        <v>1273</v>
      </c>
      <c r="Q78" s="12">
        <v>1275</v>
      </c>
      <c r="R78" s="12">
        <v>2548</v>
      </c>
      <c r="S78" s="7">
        <v>87223.011489140001</v>
      </c>
      <c r="T78" s="7">
        <v>18.562436690000002</v>
      </c>
      <c r="U78" s="7">
        <v>2648.754097</v>
      </c>
      <c r="V78" s="7">
        <v>9.3946880000000004</v>
      </c>
      <c r="AE78" s="7">
        <v>1674.6953667036275</v>
      </c>
      <c r="AF78" s="7">
        <v>7068</v>
      </c>
      <c r="AG78" s="7">
        <v>299</v>
      </c>
      <c r="AI78" s="7">
        <v>549</v>
      </c>
      <c r="AJ78" s="7">
        <v>20</v>
      </c>
      <c r="AK78" s="7">
        <v>150</v>
      </c>
      <c r="AL78" s="7">
        <v>600</v>
      </c>
      <c r="AM78" s="2">
        <v>286</v>
      </c>
      <c r="AN78" s="2">
        <v>306</v>
      </c>
      <c r="AO78" s="2">
        <v>2</v>
      </c>
      <c r="AP78" s="2">
        <v>1</v>
      </c>
      <c r="AQ78" s="2">
        <v>1</v>
      </c>
      <c r="AR78" s="2">
        <v>1</v>
      </c>
      <c r="AS78" s="2">
        <v>0</v>
      </c>
      <c r="AT78" s="2">
        <v>177</v>
      </c>
      <c r="AU78" s="2">
        <v>9</v>
      </c>
      <c r="AV78" s="2">
        <v>1643</v>
      </c>
      <c r="AW78" s="1">
        <v>3</v>
      </c>
      <c r="AX78" s="1" t="s">
        <v>271</v>
      </c>
      <c r="AY78" s="2">
        <v>2</v>
      </c>
    </row>
    <row r="79" spans="1:51" x14ac:dyDescent="0.2">
      <c r="A79" s="1" t="s">
        <v>168</v>
      </c>
      <c r="B79" s="1" t="s">
        <v>167</v>
      </c>
      <c r="C79" s="1" t="s">
        <v>28</v>
      </c>
      <c r="D79" s="6">
        <v>332.34788339049635</v>
      </c>
      <c r="E79" s="8">
        <v>56</v>
      </c>
      <c r="F79" s="8">
        <v>203</v>
      </c>
      <c r="G79" s="8">
        <v>29</v>
      </c>
      <c r="H79" s="12">
        <v>42</v>
      </c>
      <c r="I79" s="12">
        <v>228</v>
      </c>
      <c r="J79" s="13">
        <v>1505</v>
      </c>
      <c r="K79" s="13">
        <v>1892</v>
      </c>
      <c r="L79" s="13">
        <v>702</v>
      </c>
      <c r="M79" s="13">
        <v>1843</v>
      </c>
      <c r="N79" s="13">
        <v>5799</v>
      </c>
      <c r="O79" s="13">
        <v>2882</v>
      </c>
      <c r="P79" s="12">
        <v>7146</v>
      </c>
      <c r="Q79" s="12">
        <v>7477</v>
      </c>
      <c r="R79" s="12">
        <v>14623</v>
      </c>
      <c r="S79" s="7">
        <v>26432.215052720003</v>
      </c>
      <c r="T79" s="7">
        <v>26601.007098789996</v>
      </c>
      <c r="U79" s="7">
        <v>13068.247359000001</v>
      </c>
      <c r="V79" s="7">
        <v>119.009598</v>
      </c>
      <c r="AE79" s="7">
        <v>106411.76425629653</v>
      </c>
      <c r="AF79" s="7">
        <v>29308</v>
      </c>
      <c r="AG79" s="7">
        <v>761</v>
      </c>
      <c r="AH79" s="7">
        <v>9</v>
      </c>
      <c r="AI79" s="7">
        <v>860</v>
      </c>
      <c r="AJ79" s="7">
        <v>106</v>
      </c>
      <c r="AK79" s="7">
        <v>186</v>
      </c>
      <c r="AL79" s="7">
        <v>65430</v>
      </c>
      <c r="AM79" s="2">
        <v>257.57142857142856</v>
      </c>
      <c r="AN79" s="2">
        <v>2155</v>
      </c>
      <c r="AO79" s="2">
        <v>7</v>
      </c>
      <c r="AP79" s="2">
        <v>1</v>
      </c>
      <c r="AQ79" s="2">
        <v>2</v>
      </c>
      <c r="AR79" s="2">
        <v>2</v>
      </c>
      <c r="AS79" s="2">
        <v>5</v>
      </c>
      <c r="AT79" s="2">
        <v>832</v>
      </c>
      <c r="AU79" s="2">
        <v>15</v>
      </c>
      <c r="AV79" s="2">
        <v>9076</v>
      </c>
      <c r="AW79" s="1">
        <v>9</v>
      </c>
      <c r="AX79" s="1" t="s">
        <v>271</v>
      </c>
      <c r="AY79" s="2">
        <v>10</v>
      </c>
    </row>
    <row r="80" spans="1:51" x14ac:dyDescent="0.2">
      <c r="A80" s="1" t="s">
        <v>170</v>
      </c>
      <c r="B80" s="1" t="s">
        <v>169</v>
      </c>
      <c r="C80" s="1" t="s">
        <v>10</v>
      </c>
      <c r="D80" s="6">
        <v>186.08307841028156</v>
      </c>
      <c r="E80" s="8">
        <v>52</v>
      </c>
      <c r="F80" s="8">
        <v>199</v>
      </c>
      <c r="G80" s="8">
        <v>43</v>
      </c>
      <c r="H80" s="12">
        <v>53</v>
      </c>
      <c r="I80" s="12">
        <v>203</v>
      </c>
      <c r="J80" s="13">
        <v>708</v>
      </c>
      <c r="K80" s="13">
        <v>777</v>
      </c>
      <c r="L80" s="13">
        <v>298</v>
      </c>
      <c r="M80" s="13">
        <v>933</v>
      </c>
      <c r="N80" s="13">
        <v>2458</v>
      </c>
      <c r="O80" s="13">
        <v>759</v>
      </c>
      <c r="P80" s="12">
        <v>3048</v>
      </c>
      <c r="Q80" s="12">
        <v>2885</v>
      </c>
      <c r="R80" s="12">
        <v>5933</v>
      </c>
      <c r="S80" s="7">
        <v>60.537290540000001</v>
      </c>
      <c r="T80" s="7">
        <v>184.83261475</v>
      </c>
      <c r="U80" s="7">
        <v>8225.9527269999999</v>
      </c>
      <c r="V80" s="7">
        <v>197.18484599999999</v>
      </c>
      <c r="AE80" s="7">
        <v>18275</v>
      </c>
      <c r="AF80" s="7">
        <v>498</v>
      </c>
      <c r="AG80" s="7">
        <v>94</v>
      </c>
      <c r="AH80" s="7">
        <v>3</v>
      </c>
      <c r="AI80" s="7">
        <v>478</v>
      </c>
      <c r="AJ80" s="7">
        <v>46</v>
      </c>
      <c r="AK80" s="7">
        <v>493</v>
      </c>
      <c r="AL80" s="7">
        <v>18500</v>
      </c>
      <c r="AM80" s="2">
        <v>278.5</v>
      </c>
      <c r="AN80" s="2">
        <v>1008</v>
      </c>
      <c r="AO80" s="2">
        <v>3</v>
      </c>
      <c r="AP80" s="2">
        <v>3</v>
      </c>
      <c r="AQ80" s="2">
        <v>1</v>
      </c>
      <c r="AR80" s="2">
        <v>1</v>
      </c>
      <c r="AS80" s="2">
        <v>0</v>
      </c>
      <c r="AT80" s="2">
        <v>514</v>
      </c>
      <c r="AU80" s="2">
        <v>4</v>
      </c>
      <c r="AV80" s="2">
        <v>4068</v>
      </c>
      <c r="AW80" s="1">
        <v>8</v>
      </c>
      <c r="AX80" s="1" t="s">
        <v>270</v>
      </c>
      <c r="AY80" s="2">
        <v>3</v>
      </c>
    </row>
    <row r="81" spans="1:51" x14ac:dyDescent="0.2">
      <c r="A81" s="1" t="s">
        <v>172</v>
      </c>
      <c r="B81" s="1" t="s">
        <v>171</v>
      </c>
      <c r="C81" s="1" t="s">
        <v>46</v>
      </c>
      <c r="D81" s="6">
        <v>584.32413763084139</v>
      </c>
      <c r="E81" s="8">
        <v>209</v>
      </c>
      <c r="F81" s="8">
        <v>1064</v>
      </c>
      <c r="G81" s="8">
        <v>181</v>
      </c>
      <c r="H81" s="12">
        <v>388</v>
      </c>
      <c r="I81" s="12">
        <v>5477</v>
      </c>
      <c r="J81" s="13">
        <v>2446</v>
      </c>
      <c r="K81" s="13">
        <v>2723</v>
      </c>
      <c r="L81" s="13">
        <v>986</v>
      </c>
      <c r="M81" s="13">
        <v>2974</v>
      </c>
      <c r="N81" s="13">
        <v>8330</v>
      </c>
      <c r="O81" s="13">
        <v>2391</v>
      </c>
      <c r="P81" s="12">
        <v>9982</v>
      </c>
      <c r="Q81" s="12">
        <v>9868</v>
      </c>
      <c r="R81" s="12">
        <v>19850</v>
      </c>
      <c r="S81" s="7">
        <v>45710.270617779999</v>
      </c>
      <c r="T81" s="7">
        <v>164586.94013042998</v>
      </c>
      <c r="U81" s="7">
        <v>23088.591084</v>
      </c>
      <c r="V81" s="7">
        <v>864.31530399999997</v>
      </c>
      <c r="W81" s="7">
        <v>15</v>
      </c>
      <c r="X81" s="7">
        <v>8</v>
      </c>
      <c r="Y81" s="7">
        <v>65</v>
      </c>
      <c r="Z81" s="7">
        <v>43</v>
      </c>
      <c r="AA81" s="7">
        <v>15</v>
      </c>
      <c r="AB81" s="7">
        <v>18</v>
      </c>
      <c r="AC81" s="7">
        <v>14</v>
      </c>
      <c r="AD81" s="7">
        <v>9</v>
      </c>
      <c r="AE81" s="7">
        <v>54666.724677017904</v>
      </c>
      <c r="AF81" s="7">
        <v>6778</v>
      </c>
      <c r="AG81" s="7">
        <v>531</v>
      </c>
      <c r="AI81" s="7">
        <v>604</v>
      </c>
      <c r="AJ81" s="7">
        <v>36</v>
      </c>
      <c r="AK81" s="7">
        <v>267</v>
      </c>
      <c r="AL81" s="7">
        <v>350</v>
      </c>
      <c r="AM81" s="2">
        <v>287.75</v>
      </c>
      <c r="AN81" s="2">
        <v>4877</v>
      </c>
      <c r="AO81" s="2">
        <v>8</v>
      </c>
      <c r="AP81" s="2">
        <v>17</v>
      </c>
      <c r="AQ81" s="2">
        <v>3</v>
      </c>
      <c r="AR81" s="2">
        <v>5</v>
      </c>
      <c r="AS81" s="2">
        <v>6</v>
      </c>
      <c r="AT81" s="2">
        <v>10557</v>
      </c>
      <c r="AU81" s="2">
        <v>65</v>
      </c>
      <c r="AV81" s="2">
        <v>12142</v>
      </c>
      <c r="AW81" s="1">
        <v>14</v>
      </c>
      <c r="AX81" s="1" t="s">
        <v>271</v>
      </c>
      <c r="AY81" s="2">
        <v>8</v>
      </c>
    </row>
    <row r="82" spans="1:51" x14ac:dyDescent="0.2">
      <c r="A82" s="1" t="s">
        <v>174</v>
      </c>
      <c r="B82" s="1" t="s">
        <v>173</v>
      </c>
      <c r="C82" s="1" t="s">
        <v>16</v>
      </c>
      <c r="D82" s="6">
        <v>37.144288660120736</v>
      </c>
      <c r="E82" s="8">
        <v>11</v>
      </c>
      <c r="F82" s="8">
        <v>30</v>
      </c>
      <c r="G82" s="8">
        <v>9</v>
      </c>
      <c r="H82" s="12">
        <v>7</v>
      </c>
      <c r="I82" s="12">
        <v>29</v>
      </c>
      <c r="J82" s="13">
        <v>140</v>
      </c>
      <c r="K82" s="13">
        <v>176</v>
      </c>
      <c r="L82" s="13">
        <v>69</v>
      </c>
      <c r="M82" s="13">
        <v>206</v>
      </c>
      <c r="N82" s="13">
        <v>719</v>
      </c>
      <c r="O82" s="13">
        <v>457</v>
      </c>
      <c r="P82" s="12">
        <v>921</v>
      </c>
      <c r="Q82" s="12">
        <v>846</v>
      </c>
      <c r="R82" s="12">
        <v>1767</v>
      </c>
      <c r="S82" s="7">
        <v>91549.965119420012</v>
      </c>
      <c r="T82" s="7">
        <v>55.296000469999996</v>
      </c>
      <c r="U82" s="7">
        <v>1685.49523</v>
      </c>
      <c r="V82" s="7">
        <v>0</v>
      </c>
      <c r="AE82" s="7">
        <v>5160.83</v>
      </c>
      <c r="AF82" s="7">
        <v>6089</v>
      </c>
      <c r="AG82" s="7">
        <v>85</v>
      </c>
      <c r="AI82" s="7">
        <v>968</v>
      </c>
      <c r="AJ82" s="7">
        <v>25</v>
      </c>
      <c r="AK82" s="7">
        <v>114</v>
      </c>
      <c r="AL82" s="7">
        <v>350</v>
      </c>
      <c r="AM82" s="2">
        <v>267</v>
      </c>
      <c r="AN82" s="2">
        <v>238</v>
      </c>
      <c r="AO82" s="2">
        <v>1</v>
      </c>
      <c r="AP82" s="2">
        <v>1</v>
      </c>
      <c r="AQ82" s="2">
        <v>1</v>
      </c>
      <c r="AR82" s="2">
        <v>1</v>
      </c>
      <c r="AS82" s="2">
        <v>0</v>
      </c>
      <c r="AT82" s="2">
        <v>150</v>
      </c>
      <c r="AU82" s="2">
        <v>19</v>
      </c>
      <c r="AV82" s="2">
        <v>1269</v>
      </c>
      <c r="AW82" s="1">
        <v>3</v>
      </c>
      <c r="AX82" s="1" t="s">
        <v>272</v>
      </c>
    </row>
    <row r="83" spans="1:51" x14ac:dyDescent="0.2">
      <c r="A83" s="1" t="s">
        <v>176</v>
      </c>
      <c r="B83" s="1" t="s">
        <v>175</v>
      </c>
      <c r="C83" s="1" t="s">
        <v>10</v>
      </c>
      <c r="D83" s="6">
        <v>149.62642143623293</v>
      </c>
      <c r="E83" s="8">
        <v>19</v>
      </c>
      <c r="F83" s="8">
        <v>93</v>
      </c>
      <c r="G83" s="8">
        <v>23</v>
      </c>
      <c r="H83" s="12">
        <v>12</v>
      </c>
      <c r="I83" s="12">
        <v>80</v>
      </c>
      <c r="J83" s="13">
        <v>488</v>
      </c>
      <c r="K83" s="13">
        <v>566</v>
      </c>
      <c r="L83" s="13">
        <v>194</v>
      </c>
      <c r="M83" s="13">
        <v>511</v>
      </c>
      <c r="N83" s="13">
        <v>2250</v>
      </c>
      <c r="O83" s="13">
        <v>1319</v>
      </c>
      <c r="P83" s="12">
        <v>2787</v>
      </c>
      <c r="Q83" s="12">
        <v>2541</v>
      </c>
      <c r="R83" s="12">
        <v>5328</v>
      </c>
      <c r="S83" s="7">
        <v>156.10148049</v>
      </c>
      <c r="T83" s="7">
        <v>11352.03034048</v>
      </c>
      <c r="U83" s="7">
        <v>6640.1768009999996</v>
      </c>
      <c r="V83" s="7">
        <v>29.4</v>
      </c>
      <c r="AE83" s="7">
        <v>442947.45999999996</v>
      </c>
      <c r="AF83" s="7">
        <v>1800</v>
      </c>
      <c r="AG83" s="7">
        <v>365</v>
      </c>
      <c r="AI83" s="7">
        <v>375</v>
      </c>
      <c r="AJ83" s="7">
        <v>22</v>
      </c>
      <c r="AK83" s="7">
        <v>20</v>
      </c>
      <c r="AL83" s="7">
        <v>16280</v>
      </c>
      <c r="AM83" s="2">
        <v>250.5</v>
      </c>
      <c r="AN83" s="2">
        <v>653</v>
      </c>
      <c r="AO83" s="2">
        <v>2</v>
      </c>
      <c r="AP83" s="2">
        <v>2</v>
      </c>
      <c r="AQ83" s="2">
        <v>1</v>
      </c>
      <c r="AR83" s="2">
        <v>1</v>
      </c>
      <c r="AS83" s="2">
        <v>0</v>
      </c>
      <c r="AT83" s="2">
        <v>245</v>
      </c>
      <c r="AU83" s="2">
        <v>4</v>
      </c>
      <c r="AV83" s="2">
        <v>3717</v>
      </c>
      <c r="AW83" s="1">
        <v>4</v>
      </c>
      <c r="AX83" s="1" t="s">
        <v>271</v>
      </c>
      <c r="AY83" s="2">
        <v>1</v>
      </c>
    </row>
    <row r="84" spans="1:51" x14ac:dyDescent="0.2">
      <c r="A84" s="1" t="s">
        <v>178</v>
      </c>
      <c r="B84" s="1" t="s">
        <v>177</v>
      </c>
      <c r="C84" s="1" t="s">
        <v>41</v>
      </c>
      <c r="D84" s="6">
        <v>101.45394222796921</v>
      </c>
      <c r="E84" s="8">
        <v>35</v>
      </c>
      <c r="F84" s="8">
        <v>195</v>
      </c>
      <c r="G84" s="8">
        <v>44</v>
      </c>
      <c r="H84" s="12">
        <v>26</v>
      </c>
      <c r="I84" s="12">
        <v>120</v>
      </c>
      <c r="J84" s="13">
        <v>526</v>
      </c>
      <c r="K84" s="13">
        <v>702</v>
      </c>
      <c r="L84" s="13">
        <v>263</v>
      </c>
      <c r="M84" s="13">
        <v>666</v>
      </c>
      <c r="N84" s="13">
        <v>2440</v>
      </c>
      <c r="O84" s="13">
        <v>1280</v>
      </c>
      <c r="P84" s="12">
        <v>3008</v>
      </c>
      <c r="Q84" s="12">
        <v>2869</v>
      </c>
      <c r="R84" s="12">
        <v>5877</v>
      </c>
      <c r="S84" s="7">
        <v>18066.916151729998</v>
      </c>
      <c r="T84" s="7">
        <v>29625.756074730001</v>
      </c>
      <c r="U84" s="7">
        <v>9684.4641499999998</v>
      </c>
      <c r="V84" s="7">
        <v>117.730277</v>
      </c>
      <c r="AE84" s="7">
        <v>1606.219152542373</v>
      </c>
      <c r="AF84" s="7">
        <v>36957</v>
      </c>
      <c r="AG84" s="7">
        <v>166</v>
      </c>
      <c r="AI84" s="7">
        <v>988</v>
      </c>
      <c r="AJ84" s="7">
        <v>290</v>
      </c>
      <c r="AK84" s="7">
        <v>370</v>
      </c>
      <c r="AL84" s="7">
        <v>12400</v>
      </c>
      <c r="AM84" s="2">
        <v>248</v>
      </c>
      <c r="AN84" s="2">
        <v>809</v>
      </c>
      <c r="AO84" s="2">
        <v>4</v>
      </c>
      <c r="AP84" s="2">
        <v>6</v>
      </c>
      <c r="AQ84" s="2">
        <v>3</v>
      </c>
      <c r="AR84" s="2">
        <v>2</v>
      </c>
      <c r="AS84" s="2">
        <v>4</v>
      </c>
      <c r="AT84" s="2">
        <v>470</v>
      </c>
      <c r="AU84" s="2">
        <v>35</v>
      </c>
      <c r="AV84" s="2">
        <v>3147</v>
      </c>
      <c r="AW84" s="1">
        <v>3</v>
      </c>
      <c r="AX84" s="1" t="s">
        <v>270</v>
      </c>
      <c r="AY84" s="2">
        <v>1</v>
      </c>
    </row>
    <row r="85" spans="1:51" x14ac:dyDescent="0.2">
      <c r="A85" s="1" t="s">
        <v>180</v>
      </c>
      <c r="B85" s="1" t="s">
        <v>179</v>
      </c>
      <c r="C85" s="1" t="s">
        <v>22</v>
      </c>
      <c r="D85" s="6">
        <v>86.151626744205799</v>
      </c>
      <c r="E85" s="8">
        <v>17</v>
      </c>
      <c r="F85" s="8">
        <v>126</v>
      </c>
      <c r="G85" s="8">
        <v>18</v>
      </c>
      <c r="H85" s="12">
        <v>11</v>
      </c>
      <c r="I85" s="12">
        <v>141</v>
      </c>
      <c r="J85" s="13">
        <v>346</v>
      </c>
      <c r="K85" s="13">
        <v>405</v>
      </c>
      <c r="L85" s="13">
        <v>146</v>
      </c>
      <c r="M85" s="13">
        <v>382</v>
      </c>
      <c r="N85" s="13">
        <v>1212</v>
      </c>
      <c r="O85" s="13">
        <v>1077</v>
      </c>
      <c r="P85" s="12">
        <v>1754</v>
      </c>
      <c r="Q85" s="12">
        <v>1814</v>
      </c>
      <c r="R85" s="12">
        <v>3568</v>
      </c>
      <c r="S85" s="7">
        <v>13224.779354619999</v>
      </c>
      <c r="T85" s="7">
        <v>8655.2674855200003</v>
      </c>
      <c r="U85" s="7">
        <v>2649.8339219999998</v>
      </c>
      <c r="V85" s="7">
        <v>96.450368999999995</v>
      </c>
      <c r="AE85" s="7">
        <v>4682.76</v>
      </c>
      <c r="AF85" s="7">
        <v>7462</v>
      </c>
      <c r="AG85" s="7">
        <v>283</v>
      </c>
      <c r="AH85" s="7">
        <v>1</v>
      </c>
      <c r="AI85" s="7">
        <v>699</v>
      </c>
      <c r="AJ85" s="7">
        <v>3010</v>
      </c>
      <c r="AK85" s="7">
        <v>1420</v>
      </c>
      <c r="AL85" s="7">
        <v>2780</v>
      </c>
      <c r="AM85" s="2">
        <v>279</v>
      </c>
      <c r="AN85" s="2">
        <v>609</v>
      </c>
      <c r="AO85" s="2">
        <v>3</v>
      </c>
      <c r="AP85" s="2">
        <v>1</v>
      </c>
      <c r="AQ85" s="2">
        <v>1</v>
      </c>
      <c r="AR85" s="2">
        <v>1</v>
      </c>
      <c r="AS85" s="2">
        <v>0</v>
      </c>
      <c r="AT85" s="2">
        <v>379</v>
      </c>
      <c r="AU85" s="2">
        <v>93</v>
      </c>
      <c r="AV85" s="2">
        <v>2410</v>
      </c>
      <c r="AW85" s="1">
        <v>3</v>
      </c>
      <c r="AX85" s="1" t="s">
        <v>271</v>
      </c>
      <c r="AY85" s="2">
        <v>5</v>
      </c>
    </row>
    <row r="86" spans="1:51" x14ac:dyDescent="0.2">
      <c r="A86" s="1" t="s">
        <v>182</v>
      </c>
      <c r="B86" s="1" t="s">
        <v>181</v>
      </c>
      <c r="C86" s="1" t="s">
        <v>28</v>
      </c>
      <c r="D86" s="6">
        <v>64.872470198927516</v>
      </c>
      <c r="E86" s="8">
        <v>18</v>
      </c>
      <c r="F86" s="8">
        <v>76</v>
      </c>
      <c r="G86" s="8">
        <v>8</v>
      </c>
      <c r="H86" s="12">
        <v>44</v>
      </c>
      <c r="I86" s="12">
        <v>179</v>
      </c>
      <c r="J86" s="13">
        <v>329</v>
      </c>
      <c r="K86" s="13">
        <v>425</v>
      </c>
      <c r="L86" s="13">
        <v>142</v>
      </c>
      <c r="M86" s="13">
        <v>322</v>
      </c>
      <c r="N86" s="13">
        <v>1233</v>
      </c>
      <c r="O86" s="13">
        <v>752</v>
      </c>
      <c r="P86" s="12">
        <v>1603</v>
      </c>
      <c r="Q86" s="12">
        <v>1600</v>
      </c>
      <c r="R86" s="12">
        <v>3203</v>
      </c>
      <c r="S86" s="7">
        <v>172.1280663</v>
      </c>
      <c r="T86" s="7">
        <v>187.4408018</v>
      </c>
      <c r="U86" s="7">
        <v>8092.9539349999995</v>
      </c>
      <c r="V86" s="7">
        <v>103.426652</v>
      </c>
      <c r="AE86" s="7">
        <v>2062.3435396379323</v>
      </c>
      <c r="AF86" s="7">
        <v>23260</v>
      </c>
      <c r="AG86" s="7">
        <v>166</v>
      </c>
      <c r="AH86" s="7">
        <v>1</v>
      </c>
      <c r="AI86" s="7">
        <v>468</v>
      </c>
      <c r="AJ86" s="7">
        <v>48</v>
      </c>
      <c r="AK86" s="7">
        <v>131</v>
      </c>
      <c r="AL86" s="7">
        <v>280</v>
      </c>
      <c r="AM86" s="2">
        <v>249</v>
      </c>
      <c r="AN86" s="2">
        <v>671</v>
      </c>
      <c r="AO86" s="2">
        <v>3</v>
      </c>
      <c r="AP86" s="2">
        <v>1</v>
      </c>
      <c r="AQ86" s="2">
        <v>1</v>
      </c>
      <c r="AR86" s="2">
        <v>1</v>
      </c>
      <c r="AS86" s="2">
        <v>0</v>
      </c>
      <c r="AT86" s="2">
        <v>575</v>
      </c>
      <c r="AU86" s="2">
        <v>7</v>
      </c>
      <c r="AV86" s="2">
        <v>1694</v>
      </c>
      <c r="AW86" s="1">
        <v>5</v>
      </c>
      <c r="AX86" s="1" t="s">
        <v>271</v>
      </c>
      <c r="AY86" s="2">
        <v>5</v>
      </c>
    </row>
    <row r="87" spans="1:51" x14ac:dyDescent="0.2">
      <c r="A87" s="1" t="s">
        <v>184</v>
      </c>
      <c r="B87" s="1" t="s">
        <v>183</v>
      </c>
      <c r="C87" s="1" t="s">
        <v>28</v>
      </c>
      <c r="D87" s="6">
        <v>113.88937272201851</v>
      </c>
      <c r="E87" s="8">
        <v>77</v>
      </c>
      <c r="F87" s="8">
        <v>172</v>
      </c>
      <c r="G87" s="8">
        <v>36</v>
      </c>
      <c r="H87" s="12">
        <v>16</v>
      </c>
      <c r="I87" s="12">
        <v>79</v>
      </c>
      <c r="J87" s="13">
        <v>698</v>
      </c>
      <c r="K87" s="13">
        <v>942</v>
      </c>
      <c r="L87" s="13">
        <v>349</v>
      </c>
      <c r="M87" s="13">
        <v>829</v>
      </c>
      <c r="N87" s="13">
        <v>3004</v>
      </c>
      <c r="O87" s="13">
        <v>1277</v>
      </c>
      <c r="P87" s="12">
        <v>3882</v>
      </c>
      <c r="Q87" s="12">
        <v>3217</v>
      </c>
      <c r="R87" s="12">
        <v>7099</v>
      </c>
      <c r="S87" s="7">
        <v>2273.85623132</v>
      </c>
      <c r="T87" s="7">
        <v>95.735056520000001</v>
      </c>
      <c r="U87" s="7">
        <v>2971.4063590000001</v>
      </c>
      <c r="V87" s="7">
        <v>25.288976000000002</v>
      </c>
      <c r="AE87" s="7">
        <v>9453.0514953271013</v>
      </c>
      <c r="AF87" s="7">
        <v>8089</v>
      </c>
      <c r="AG87" s="7">
        <v>470</v>
      </c>
      <c r="AI87" s="7">
        <v>438</v>
      </c>
      <c r="AJ87" s="7">
        <v>9</v>
      </c>
      <c r="AK87" s="7">
        <v>50</v>
      </c>
      <c r="AL87" s="7">
        <v>430</v>
      </c>
      <c r="AM87" s="2">
        <v>246</v>
      </c>
      <c r="AN87" s="2">
        <v>1126</v>
      </c>
      <c r="AO87" s="2">
        <v>2</v>
      </c>
      <c r="AP87" s="2">
        <v>1</v>
      </c>
      <c r="AQ87" s="2">
        <v>2</v>
      </c>
      <c r="AR87" s="2">
        <v>1</v>
      </c>
      <c r="AS87" s="2">
        <v>0</v>
      </c>
      <c r="AT87" s="2">
        <v>657</v>
      </c>
      <c r="AU87" s="2">
        <v>11</v>
      </c>
      <c r="AV87" s="2">
        <v>5087</v>
      </c>
      <c r="AW87" s="1">
        <v>4</v>
      </c>
      <c r="AX87" s="1" t="s">
        <v>271</v>
      </c>
      <c r="AY87" s="2">
        <v>2</v>
      </c>
    </row>
    <row r="88" spans="1:51" x14ac:dyDescent="0.2">
      <c r="A88" s="1" t="s">
        <v>186</v>
      </c>
      <c r="B88" s="1" t="s">
        <v>185</v>
      </c>
      <c r="C88" s="1" t="s">
        <v>41</v>
      </c>
      <c r="D88" s="6">
        <v>1301.1491838977586</v>
      </c>
      <c r="E88" s="8">
        <v>27</v>
      </c>
      <c r="F88" s="8">
        <v>116</v>
      </c>
      <c r="G88" s="8">
        <v>30</v>
      </c>
      <c r="H88" s="12">
        <v>32</v>
      </c>
      <c r="I88" s="12">
        <v>271</v>
      </c>
      <c r="J88" s="13">
        <v>331</v>
      </c>
      <c r="K88" s="13">
        <v>440</v>
      </c>
      <c r="L88" s="13">
        <v>161</v>
      </c>
      <c r="M88" s="13">
        <v>426</v>
      </c>
      <c r="N88" s="13">
        <v>1605</v>
      </c>
      <c r="O88" s="13">
        <v>795</v>
      </c>
      <c r="P88" s="12">
        <v>1948</v>
      </c>
      <c r="Q88" s="12">
        <v>1810</v>
      </c>
      <c r="R88" s="12">
        <v>3758</v>
      </c>
      <c r="S88" s="7">
        <v>48031.928286950002</v>
      </c>
      <c r="T88" s="7">
        <v>147.5214934</v>
      </c>
      <c r="U88" s="7">
        <v>3567.9326839999999</v>
      </c>
      <c r="V88" s="7">
        <v>23.172628</v>
      </c>
      <c r="AE88" s="7">
        <v>2730.79</v>
      </c>
      <c r="AF88" s="7">
        <v>13267</v>
      </c>
      <c r="AG88" s="7">
        <v>268</v>
      </c>
      <c r="AI88" s="7">
        <v>1310</v>
      </c>
      <c r="AJ88" s="7">
        <v>980</v>
      </c>
      <c r="AK88" s="7">
        <v>270</v>
      </c>
      <c r="AL88" s="7">
        <v>1200</v>
      </c>
      <c r="AM88" s="2">
        <v>299</v>
      </c>
      <c r="AN88" s="2">
        <v>583</v>
      </c>
      <c r="AO88" s="2">
        <v>2</v>
      </c>
      <c r="AP88" s="2">
        <v>4</v>
      </c>
      <c r="AQ88" s="2">
        <v>5</v>
      </c>
      <c r="AR88" s="2">
        <v>1</v>
      </c>
      <c r="AS88" s="2">
        <v>0</v>
      </c>
      <c r="AT88" s="2">
        <v>613</v>
      </c>
      <c r="AU88" s="2">
        <v>7</v>
      </c>
      <c r="AV88" s="2">
        <v>2010</v>
      </c>
      <c r="AW88" s="1">
        <v>3</v>
      </c>
      <c r="AX88" s="1" t="s">
        <v>273</v>
      </c>
      <c r="AY88" s="2">
        <v>1</v>
      </c>
    </row>
    <row r="89" spans="1:51" x14ac:dyDescent="0.2">
      <c r="A89" s="1" t="s">
        <v>188</v>
      </c>
      <c r="B89" s="1" t="s">
        <v>187</v>
      </c>
      <c r="C89" s="1" t="s">
        <v>13</v>
      </c>
      <c r="D89" s="6">
        <v>174.25679563760764</v>
      </c>
      <c r="E89" s="8">
        <v>89</v>
      </c>
      <c r="F89" s="8">
        <v>504</v>
      </c>
      <c r="G89" s="8">
        <v>70</v>
      </c>
      <c r="H89" s="12">
        <v>87</v>
      </c>
      <c r="I89" s="12">
        <v>311</v>
      </c>
      <c r="J89" s="13">
        <v>1028</v>
      </c>
      <c r="K89" s="13">
        <v>1449</v>
      </c>
      <c r="L89" s="13">
        <v>564</v>
      </c>
      <c r="M89" s="13">
        <v>2352</v>
      </c>
      <c r="N89" s="13">
        <v>6014</v>
      </c>
      <c r="O89" s="13">
        <v>2721</v>
      </c>
      <c r="P89" s="12">
        <v>7390</v>
      </c>
      <c r="Q89" s="12">
        <v>6738</v>
      </c>
      <c r="R89" s="12">
        <v>14128</v>
      </c>
      <c r="S89" s="7">
        <v>193.02271614000003</v>
      </c>
      <c r="T89" s="7">
        <v>53516.143545539999</v>
      </c>
      <c r="U89" s="7">
        <v>4870.8679199999997</v>
      </c>
      <c r="V89" s="7">
        <v>75.839225999999996</v>
      </c>
      <c r="W89" s="7">
        <v>56</v>
      </c>
      <c r="X89" s="7">
        <v>71</v>
      </c>
      <c r="Y89" s="7">
        <v>57</v>
      </c>
      <c r="Z89" s="7">
        <v>12</v>
      </c>
      <c r="AA89" s="7">
        <v>50</v>
      </c>
      <c r="AB89" s="7">
        <v>88</v>
      </c>
      <c r="AC89" s="7">
        <v>32</v>
      </c>
      <c r="AD89" s="7">
        <v>81</v>
      </c>
      <c r="AE89" s="7">
        <v>3878.6246285442739</v>
      </c>
      <c r="AF89" s="7">
        <v>10948</v>
      </c>
      <c r="AG89" s="7">
        <v>1.1519999999999999</v>
      </c>
      <c r="AH89" s="7">
        <v>8</v>
      </c>
      <c r="AI89" s="7">
        <v>120</v>
      </c>
      <c r="AJ89" s="7">
        <v>105</v>
      </c>
      <c r="AK89" s="7">
        <v>285</v>
      </c>
      <c r="AL89" s="7">
        <v>36090</v>
      </c>
      <c r="AM89" s="2">
        <v>287</v>
      </c>
      <c r="AN89" s="2">
        <v>1713</v>
      </c>
      <c r="AO89" s="2">
        <v>5</v>
      </c>
      <c r="AP89" s="2">
        <v>11</v>
      </c>
      <c r="AQ89" s="2">
        <v>1</v>
      </c>
      <c r="AR89" s="2">
        <v>0</v>
      </c>
      <c r="AS89" s="2">
        <v>0</v>
      </c>
      <c r="AT89" s="2">
        <v>1599</v>
      </c>
      <c r="AU89" s="2">
        <v>19</v>
      </c>
      <c r="AV89" s="2">
        <v>4964</v>
      </c>
      <c r="AW89" s="1">
        <v>9</v>
      </c>
      <c r="AX89" s="1" t="s">
        <v>271</v>
      </c>
      <c r="AY89" s="2">
        <v>2</v>
      </c>
    </row>
    <row r="90" spans="1:51" x14ac:dyDescent="0.2">
      <c r="A90" s="1" t="s">
        <v>190</v>
      </c>
      <c r="B90" s="1" t="s">
        <v>189</v>
      </c>
      <c r="C90" s="1" t="s">
        <v>10</v>
      </c>
      <c r="D90" s="6">
        <v>82.932308180646217</v>
      </c>
      <c r="E90" s="8">
        <v>19</v>
      </c>
      <c r="F90" s="8">
        <v>121</v>
      </c>
      <c r="G90" s="8">
        <v>19</v>
      </c>
      <c r="H90" s="12">
        <v>27</v>
      </c>
      <c r="I90" s="12">
        <v>115</v>
      </c>
      <c r="J90" s="13">
        <v>366</v>
      </c>
      <c r="K90" s="13">
        <v>390</v>
      </c>
      <c r="L90" s="13">
        <v>128</v>
      </c>
      <c r="M90" s="13">
        <v>374</v>
      </c>
      <c r="N90" s="13">
        <v>1294</v>
      </c>
      <c r="O90" s="13">
        <v>846</v>
      </c>
      <c r="P90" s="12">
        <v>1729</v>
      </c>
      <c r="Q90" s="12">
        <v>1669</v>
      </c>
      <c r="R90" s="12">
        <v>3398</v>
      </c>
      <c r="S90" s="7">
        <v>60815.436114250006</v>
      </c>
      <c r="T90" s="7">
        <v>10012.82471282</v>
      </c>
      <c r="U90" s="7">
        <v>5629.5032549999996</v>
      </c>
      <c r="V90" s="7">
        <v>288.31040000000002</v>
      </c>
      <c r="AE90" s="7">
        <v>18855.071793125295</v>
      </c>
      <c r="AF90" s="7">
        <v>4514</v>
      </c>
      <c r="AG90" s="7">
        <v>58</v>
      </c>
      <c r="AH90" s="7">
        <v>12</v>
      </c>
      <c r="AI90" s="7">
        <v>578</v>
      </c>
      <c r="AJ90" s="7">
        <v>90</v>
      </c>
      <c r="AK90" s="7">
        <v>312</v>
      </c>
      <c r="AL90" s="7">
        <v>140</v>
      </c>
      <c r="AM90" s="2">
        <v>268</v>
      </c>
      <c r="AN90" s="2">
        <v>584</v>
      </c>
      <c r="AO90" s="2">
        <v>1</v>
      </c>
      <c r="AP90" s="2">
        <v>1</v>
      </c>
      <c r="AQ90" s="2">
        <v>1</v>
      </c>
      <c r="AR90" s="2">
        <v>1</v>
      </c>
      <c r="AS90" s="2">
        <v>0</v>
      </c>
      <c r="AT90" s="2">
        <v>232</v>
      </c>
      <c r="AU90" s="2">
        <v>1</v>
      </c>
      <c r="AV90" s="2">
        <v>2191</v>
      </c>
      <c r="AW90" s="1">
        <v>5</v>
      </c>
      <c r="AX90" s="1" t="s">
        <v>271</v>
      </c>
      <c r="AY90" s="2">
        <v>7</v>
      </c>
    </row>
    <row r="91" spans="1:51" x14ac:dyDescent="0.2">
      <c r="A91" s="1" t="s">
        <v>192</v>
      </c>
      <c r="B91" s="1" t="s">
        <v>191</v>
      </c>
      <c r="C91" s="1" t="s">
        <v>10</v>
      </c>
      <c r="D91" s="6">
        <v>166.35087126711213</v>
      </c>
      <c r="E91" s="8">
        <v>56</v>
      </c>
      <c r="F91" s="8">
        <v>208</v>
      </c>
      <c r="G91" s="8">
        <v>46</v>
      </c>
      <c r="H91" s="12">
        <v>19</v>
      </c>
      <c r="I91" s="12">
        <v>211</v>
      </c>
      <c r="J91" s="13">
        <v>774</v>
      </c>
      <c r="K91" s="13">
        <v>966</v>
      </c>
      <c r="L91" s="13">
        <v>382</v>
      </c>
      <c r="M91" s="13">
        <v>1056</v>
      </c>
      <c r="N91" s="13">
        <v>3464</v>
      </c>
      <c r="O91" s="13">
        <v>1488</v>
      </c>
      <c r="P91" s="12">
        <v>4194</v>
      </c>
      <c r="Q91" s="12">
        <v>3936</v>
      </c>
      <c r="R91" s="12">
        <v>8130</v>
      </c>
      <c r="S91" s="7">
        <v>107306.30830206</v>
      </c>
      <c r="T91" s="7">
        <v>18742.965657080003</v>
      </c>
      <c r="U91" s="7">
        <v>7996.4385009999996</v>
      </c>
      <c r="V91" s="7">
        <v>106.1</v>
      </c>
      <c r="AE91" s="7">
        <v>285571.84999999998</v>
      </c>
      <c r="AF91" s="7">
        <v>2083</v>
      </c>
      <c r="AG91" s="7">
        <v>1.4350000000000001</v>
      </c>
      <c r="AI91" s="7">
        <v>1298</v>
      </c>
      <c r="AJ91" s="7">
        <v>102</v>
      </c>
      <c r="AK91" s="7">
        <v>124</v>
      </c>
      <c r="AL91" s="7">
        <v>300</v>
      </c>
      <c r="AM91" s="2">
        <v>243</v>
      </c>
      <c r="AN91" s="2">
        <v>1217</v>
      </c>
      <c r="AO91" s="2">
        <v>3</v>
      </c>
      <c r="AP91" s="2">
        <v>3</v>
      </c>
      <c r="AQ91" s="2">
        <v>2</v>
      </c>
      <c r="AR91" s="2">
        <v>1</v>
      </c>
      <c r="AS91" s="2">
        <v>0</v>
      </c>
      <c r="AT91" s="2">
        <v>940</v>
      </c>
      <c r="AU91" s="2">
        <v>76</v>
      </c>
      <c r="AV91" s="2">
        <v>6679</v>
      </c>
      <c r="AW91" s="1">
        <v>6</v>
      </c>
      <c r="AX91" s="1" t="s">
        <v>271</v>
      </c>
      <c r="AY91" s="2">
        <v>1</v>
      </c>
    </row>
    <row r="92" spans="1:51" x14ac:dyDescent="0.2">
      <c r="A92" s="1" t="s">
        <v>194</v>
      </c>
      <c r="B92" s="1" t="s">
        <v>193</v>
      </c>
      <c r="C92" s="1" t="s">
        <v>22</v>
      </c>
      <c r="D92" s="6">
        <v>43.528933100080636</v>
      </c>
      <c r="E92" s="8">
        <v>12</v>
      </c>
      <c r="F92" s="8">
        <v>74</v>
      </c>
      <c r="G92" s="8">
        <v>8</v>
      </c>
      <c r="H92" s="12">
        <v>17</v>
      </c>
      <c r="I92" s="12">
        <v>123</v>
      </c>
      <c r="J92" s="13">
        <v>173</v>
      </c>
      <c r="K92" s="13">
        <v>245</v>
      </c>
      <c r="L92" s="13">
        <v>90</v>
      </c>
      <c r="M92" s="13">
        <v>221</v>
      </c>
      <c r="N92" s="13">
        <v>895</v>
      </c>
      <c r="O92" s="13">
        <v>695</v>
      </c>
      <c r="P92" s="12">
        <v>1180</v>
      </c>
      <c r="Q92" s="12">
        <v>1139</v>
      </c>
      <c r="R92" s="12">
        <v>2319</v>
      </c>
      <c r="S92" s="7">
        <v>359.01659522000006</v>
      </c>
      <c r="T92" s="7">
        <v>6412.64364656</v>
      </c>
      <c r="U92" s="7">
        <v>1770.440805</v>
      </c>
      <c r="V92" s="7">
        <v>8.1776680000000006</v>
      </c>
      <c r="AE92" s="7">
        <v>2299.5888263998013</v>
      </c>
      <c r="AF92" s="7">
        <v>5543</v>
      </c>
      <c r="AG92" s="7">
        <v>247</v>
      </c>
      <c r="AI92" s="7">
        <v>265</v>
      </c>
      <c r="AJ92" s="7">
        <v>3965</v>
      </c>
      <c r="AK92" s="7">
        <v>8890</v>
      </c>
      <c r="AL92" s="7">
        <v>2100</v>
      </c>
      <c r="AM92" s="2">
        <v>239</v>
      </c>
      <c r="AN92" s="2">
        <v>288</v>
      </c>
      <c r="AO92" s="2">
        <v>2</v>
      </c>
      <c r="AP92" s="2">
        <v>2</v>
      </c>
      <c r="AQ92" s="2">
        <v>1</v>
      </c>
      <c r="AR92" s="2">
        <v>1</v>
      </c>
      <c r="AS92" s="2">
        <v>0</v>
      </c>
      <c r="AT92" s="2">
        <v>287</v>
      </c>
      <c r="AU92" s="2">
        <v>10</v>
      </c>
      <c r="AV92" s="2">
        <v>1461</v>
      </c>
      <c r="AW92" s="1">
        <v>4</v>
      </c>
      <c r="AX92" s="1" t="s">
        <v>271</v>
      </c>
      <c r="AY92" s="2">
        <v>1</v>
      </c>
    </row>
    <row r="93" spans="1:51" x14ac:dyDescent="0.2">
      <c r="A93" s="1" t="s">
        <v>196</v>
      </c>
      <c r="B93" s="1" t="s">
        <v>195</v>
      </c>
      <c r="C93" s="1" t="s">
        <v>22</v>
      </c>
      <c r="D93" s="6">
        <v>48.180274966503589</v>
      </c>
      <c r="E93" s="8">
        <v>10</v>
      </c>
      <c r="F93" s="8">
        <v>40</v>
      </c>
      <c r="G93" s="8">
        <v>2</v>
      </c>
      <c r="H93" s="12">
        <v>13</v>
      </c>
      <c r="I93" s="12">
        <v>123</v>
      </c>
      <c r="J93" s="13">
        <v>110</v>
      </c>
      <c r="K93" s="13">
        <v>126</v>
      </c>
      <c r="L93" s="13">
        <v>48</v>
      </c>
      <c r="M93" s="13">
        <v>127</v>
      </c>
      <c r="N93" s="13">
        <v>473</v>
      </c>
      <c r="O93" s="13">
        <v>279</v>
      </c>
      <c r="P93" s="12">
        <v>532</v>
      </c>
      <c r="Q93" s="12">
        <v>631</v>
      </c>
      <c r="R93" s="12">
        <v>1163</v>
      </c>
      <c r="S93" s="7">
        <v>3.01131737</v>
      </c>
      <c r="T93" s="7">
        <v>4.3529482800000006</v>
      </c>
      <c r="U93" s="7">
        <v>577.50354600000003</v>
      </c>
      <c r="V93" s="7">
        <v>0</v>
      </c>
      <c r="AE93" s="7">
        <v>241.34835383230842</v>
      </c>
      <c r="AF93" s="7">
        <v>2053</v>
      </c>
      <c r="AG93" s="7">
        <v>16</v>
      </c>
      <c r="AI93" s="7">
        <v>247</v>
      </c>
      <c r="AJ93" s="7">
        <v>1141</v>
      </c>
      <c r="AK93" s="7">
        <v>2180</v>
      </c>
      <c r="AL93" s="7">
        <v>2100</v>
      </c>
      <c r="AM93" s="2">
        <v>254</v>
      </c>
      <c r="AN93" s="2">
        <v>204</v>
      </c>
      <c r="AO93" s="2">
        <v>1</v>
      </c>
      <c r="AP93" s="2">
        <v>1</v>
      </c>
      <c r="AQ93" s="2">
        <v>0</v>
      </c>
      <c r="AR93" s="2">
        <v>1</v>
      </c>
      <c r="AS93" s="2">
        <v>0</v>
      </c>
      <c r="AT93" s="2">
        <v>260</v>
      </c>
      <c r="AU93" s="2">
        <v>2</v>
      </c>
      <c r="AV93" s="2">
        <v>581</v>
      </c>
      <c r="AW93" s="1">
        <v>3</v>
      </c>
      <c r="AX93" s="1" t="s">
        <v>270</v>
      </c>
    </row>
    <row r="94" spans="1:51" x14ac:dyDescent="0.2">
      <c r="A94" s="1" t="s">
        <v>198</v>
      </c>
      <c r="B94" s="1" t="s">
        <v>197</v>
      </c>
      <c r="C94" s="1" t="s">
        <v>46</v>
      </c>
      <c r="D94" s="6">
        <v>228.23157797227759</v>
      </c>
      <c r="E94" s="8">
        <v>18</v>
      </c>
      <c r="F94" s="8">
        <v>105</v>
      </c>
      <c r="G94" s="8">
        <v>22</v>
      </c>
      <c r="H94" s="12">
        <v>29</v>
      </c>
      <c r="I94" s="12">
        <v>153</v>
      </c>
      <c r="J94" s="13">
        <v>961</v>
      </c>
      <c r="K94" s="13">
        <v>1048</v>
      </c>
      <c r="L94" s="13">
        <v>357</v>
      </c>
      <c r="M94" s="13">
        <v>921</v>
      </c>
      <c r="N94" s="13">
        <v>2680</v>
      </c>
      <c r="O94" s="13">
        <v>1237</v>
      </c>
      <c r="P94" s="12">
        <v>3736</v>
      </c>
      <c r="Q94" s="12">
        <v>3468</v>
      </c>
      <c r="R94" s="12">
        <v>7204</v>
      </c>
      <c r="S94" s="7">
        <v>58483.762244460006</v>
      </c>
      <c r="T94" s="7">
        <v>384.13383990999995</v>
      </c>
      <c r="U94" s="7">
        <v>10264.862067</v>
      </c>
      <c r="V94" s="7">
        <v>18.035905</v>
      </c>
      <c r="AE94" s="7">
        <v>145229.72358625059</v>
      </c>
      <c r="AF94" s="7">
        <v>13766</v>
      </c>
      <c r="AG94" s="7">
        <v>600</v>
      </c>
      <c r="AI94" s="7">
        <v>2204</v>
      </c>
      <c r="AJ94" s="7">
        <v>54</v>
      </c>
      <c r="AK94" s="7">
        <v>394</v>
      </c>
      <c r="AL94" s="7">
        <v>380</v>
      </c>
      <c r="AM94" s="2">
        <v>251</v>
      </c>
      <c r="AN94" s="2">
        <v>1509</v>
      </c>
      <c r="AO94" s="2">
        <v>4</v>
      </c>
      <c r="AP94" s="2">
        <v>3</v>
      </c>
      <c r="AQ94" s="2">
        <v>1</v>
      </c>
      <c r="AR94" s="2">
        <v>2</v>
      </c>
      <c r="AS94" s="2">
        <v>0</v>
      </c>
      <c r="AT94" s="2">
        <v>517</v>
      </c>
      <c r="AU94" s="2">
        <v>8</v>
      </c>
      <c r="AV94" s="2">
        <v>5380</v>
      </c>
      <c r="AW94" s="1">
        <v>6</v>
      </c>
      <c r="AX94" s="1" t="s">
        <v>271</v>
      </c>
      <c r="AY94" s="2">
        <v>1</v>
      </c>
    </row>
    <row r="95" spans="1:51" x14ac:dyDescent="0.2">
      <c r="A95" s="1" t="s">
        <v>200</v>
      </c>
      <c r="B95" s="1" t="s">
        <v>199</v>
      </c>
      <c r="C95" s="1" t="s">
        <v>22</v>
      </c>
      <c r="D95" s="6">
        <v>151.67734623791412</v>
      </c>
      <c r="E95" s="8">
        <v>79</v>
      </c>
      <c r="F95" s="8">
        <v>509</v>
      </c>
      <c r="G95" s="8">
        <v>71</v>
      </c>
      <c r="H95" s="12">
        <v>53</v>
      </c>
      <c r="I95" s="12">
        <v>396</v>
      </c>
      <c r="J95" s="13">
        <v>738</v>
      </c>
      <c r="K95" s="13">
        <v>1027</v>
      </c>
      <c r="L95" s="13">
        <v>403</v>
      </c>
      <c r="M95" s="13">
        <v>1098</v>
      </c>
      <c r="N95" s="13">
        <v>3912</v>
      </c>
      <c r="O95" s="13">
        <v>2340</v>
      </c>
      <c r="P95" s="12">
        <v>4530</v>
      </c>
      <c r="Q95" s="12">
        <v>4988</v>
      </c>
      <c r="R95" s="12">
        <v>9518</v>
      </c>
      <c r="S95" s="7">
        <v>121.04632171000002</v>
      </c>
      <c r="T95" s="7">
        <v>22107.17616513</v>
      </c>
      <c r="U95" s="7">
        <v>3775.5564690000001</v>
      </c>
      <c r="V95" s="7">
        <v>202.34775300000001</v>
      </c>
      <c r="W95" s="7">
        <v>45</v>
      </c>
      <c r="X95" s="7">
        <v>29</v>
      </c>
      <c r="Y95" s="7">
        <v>42</v>
      </c>
      <c r="Z95" s="7">
        <v>70</v>
      </c>
      <c r="AA95" s="7">
        <v>23</v>
      </c>
      <c r="AB95" s="7">
        <v>31</v>
      </c>
      <c r="AC95" s="7">
        <v>39</v>
      </c>
      <c r="AD95" s="7">
        <v>58</v>
      </c>
      <c r="AE95" s="7">
        <v>6182.9422499194152</v>
      </c>
      <c r="AF95" s="7">
        <v>4334</v>
      </c>
      <c r="AG95" s="7">
        <v>326</v>
      </c>
      <c r="AI95" s="7">
        <v>295</v>
      </c>
      <c r="AJ95" s="7">
        <v>3510</v>
      </c>
      <c r="AK95" s="7">
        <v>1980</v>
      </c>
      <c r="AL95" s="7">
        <v>1800</v>
      </c>
      <c r="AM95" s="2">
        <v>279</v>
      </c>
      <c r="AN95" s="2">
        <v>1508</v>
      </c>
      <c r="AO95" s="2">
        <v>3</v>
      </c>
      <c r="AP95" s="2">
        <v>17</v>
      </c>
      <c r="AQ95" s="2">
        <v>4</v>
      </c>
      <c r="AR95" s="2">
        <v>4</v>
      </c>
      <c r="AS95" s="2">
        <v>47</v>
      </c>
      <c r="AT95" s="2">
        <v>3207</v>
      </c>
      <c r="AU95" s="2">
        <v>750</v>
      </c>
      <c r="AV95" s="2">
        <v>5741</v>
      </c>
      <c r="AW95" s="1">
        <v>6</v>
      </c>
      <c r="AX95" s="1" t="s">
        <v>272</v>
      </c>
      <c r="AY95" s="2">
        <v>2</v>
      </c>
    </row>
    <row r="96" spans="1:51" x14ac:dyDescent="0.2">
      <c r="A96" s="1" t="s">
        <v>202</v>
      </c>
      <c r="B96" s="1" t="s">
        <v>201</v>
      </c>
      <c r="C96" s="1" t="s">
        <v>19</v>
      </c>
      <c r="D96" s="6">
        <v>207.1252104142099</v>
      </c>
      <c r="E96" s="8">
        <v>86</v>
      </c>
      <c r="F96" s="8">
        <v>549</v>
      </c>
      <c r="G96" s="8">
        <v>71</v>
      </c>
      <c r="H96" s="12">
        <v>141</v>
      </c>
      <c r="I96" s="12">
        <v>1796</v>
      </c>
      <c r="J96" s="13">
        <v>920</v>
      </c>
      <c r="K96" s="13">
        <v>1087</v>
      </c>
      <c r="L96" s="13">
        <v>393</v>
      </c>
      <c r="M96" s="13">
        <v>1103</v>
      </c>
      <c r="N96" s="13">
        <v>3503</v>
      </c>
      <c r="O96" s="13">
        <v>1519</v>
      </c>
      <c r="P96" s="12">
        <v>4246</v>
      </c>
      <c r="Q96" s="12">
        <v>4279</v>
      </c>
      <c r="R96" s="12">
        <v>8525</v>
      </c>
      <c r="S96" s="7">
        <v>194741.21361120002</v>
      </c>
      <c r="T96" s="7">
        <v>31751.003262499999</v>
      </c>
      <c r="U96" s="7">
        <v>3508.5923910000001</v>
      </c>
      <c r="V96" s="7">
        <v>252.15427199999999</v>
      </c>
      <c r="AE96" s="7">
        <v>1214.6600744495486</v>
      </c>
      <c r="AF96" s="7">
        <v>4330</v>
      </c>
      <c r="AG96" s="7">
        <v>279</v>
      </c>
      <c r="AI96" s="7">
        <v>3225</v>
      </c>
      <c r="AJ96" s="7">
        <v>165</v>
      </c>
      <c r="AK96" s="7">
        <v>1320</v>
      </c>
      <c r="AL96" s="7">
        <v>180</v>
      </c>
      <c r="AM96" s="2">
        <v>243.25</v>
      </c>
      <c r="AN96" s="2">
        <v>1971</v>
      </c>
      <c r="AO96" s="2">
        <v>6</v>
      </c>
      <c r="AP96" s="2">
        <v>5</v>
      </c>
      <c r="AQ96" s="2">
        <v>2</v>
      </c>
      <c r="AR96" s="2">
        <v>2</v>
      </c>
      <c r="AS96" s="2">
        <v>8</v>
      </c>
      <c r="AT96" s="2">
        <v>4287</v>
      </c>
      <c r="AU96" s="2">
        <v>115</v>
      </c>
      <c r="AV96" s="2">
        <v>4269</v>
      </c>
      <c r="AW96" s="1">
        <v>5</v>
      </c>
      <c r="AX96" s="1" t="s">
        <v>272</v>
      </c>
      <c r="AY96" s="2">
        <v>8</v>
      </c>
    </row>
    <row r="97" spans="1:51" x14ac:dyDescent="0.2">
      <c r="A97" s="1" t="s">
        <v>204</v>
      </c>
      <c r="B97" s="1" t="s">
        <v>203</v>
      </c>
      <c r="C97" s="1" t="s">
        <v>19</v>
      </c>
      <c r="D97" s="6">
        <v>271.97071096069374</v>
      </c>
      <c r="E97" s="8">
        <v>32</v>
      </c>
      <c r="F97" s="8">
        <v>270</v>
      </c>
      <c r="G97" s="8">
        <v>19</v>
      </c>
      <c r="H97" s="12">
        <v>22</v>
      </c>
      <c r="I97" s="12">
        <v>270</v>
      </c>
      <c r="J97" s="13">
        <v>944</v>
      </c>
      <c r="K97" s="13">
        <v>1025</v>
      </c>
      <c r="L97" s="13">
        <v>340</v>
      </c>
      <c r="M97" s="13">
        <v>914</v>
      </c>
      <c r="N97" s="13">
        <v>2952</v>
      </c>
      <c r="O97" s="13">
        <v>1513</v>
      </c>
      <c r="P97" s="12">
        <v>4088</v>
      </c>
      <c r="Q97" s="12">
        <v>3600</v>
      </c>
      <c r="R97" s="12">
        <v>7688</v>
      </c>
      <c r="S97" s="7">
        <v>26246.900563239997</v>
      </c>
      <c r="T97" s="7">
        <v>21536.366299030004</v>
      </c>
      <c r="U97" s="7">
        <v>8689.3123660000001</v>
      </c>
      <c r="V97" s="7">
        <v>379.65829500000001</v>
      </c>
      <c r="AE97" s="7">
        <v>16553.948353879608</v>
      </c>
      <c r="AF97" s="7">
        <v>8826</v>
      </c>
      <c r="AG97" s="7">
        <v>52</v>
      </c>
      <c r="AI97" s="7">
        <v>557</v>
      </c>
      <c r="AJ97" s="7">
        <v>703</v>
      </c>
      <c r="AK97" s="7">
        <v>3217</v>
      </c>
      <c r="AL97" s="7">
        <v>280</v>
      </c>
      <c r="AM97" s="2">
        <v>248.5</v>
      </c>
      <c r="AN97" s="2">
        <v>1612</v>
      </c>
      <c r="AO97" s="2">
        <v>2</v>
      </c>
      <c r="AP97" s="2">
        <v>1</v>
      </c>
      <c r="AQ97" s="2">
        <v>2</v>
      </c>
      <c r="AR97" s="2">
        <v>2</v>
      </c>
      <c r="AS97" s="2">
        <v>7</v>
      </c>
      <c r="AT97" s="2">
        <v>1953</v>
      </c>
      <c r="AU97" s="2">
        <v>36</v>
      </c>
      <c r="AV97" s="2">
        <v>5131</v>
      </c>
      <c r="AW97" s="1">
        <v>5</v>
      </c>
      <c r="AX97" s="1" t="s">
        <v>272</v>
      </c>
      <c r="AY97" s="2">
        <v>4</v>
      </c>
    </row>
    <row r="98" spans="1:51" x14ac:dyDescent="0.2">
      <c r="A98" s="1" t="s">
        <v>206</v>
      </c>
      <c r="B98" s="1" t="s">
        <v>205</v>
      </c>
      <c r="C98" s="1" t="s">
        <v>7</v>
      </c>
      <c r="D98" s="6">
        <v>4123.7196788743558</v>
      </c>
      <c r="E98" s="8">
        <v>1350</v>
      </c>
      <c r="F98" s="8">
        <v>6793</v>
      </c>
      <c r="G98" s="8">
        <v>348</v>
      </c>
      <c r="H98" s="12">
        <v>2633</v>
      </c>
      <c r="I98" s="12">
        <v>22346</v>
      </c>
      <c r="J98" s="13">
        <v>11427</v>
      </c>
      <c r="K98" s="13">
        <v>15189</v>
      </c>
      <c r="L98" s="13">
        <v>6242</v>
      </c>
      <c r="M98" s="13">
        <v>19683</v>
      </c>
      <c r="N98" s="13">
        <v>62302</v>
      </c>
      <c r="O98" s="13">
        <v>22916</v>
      </c>
      <c r="P98" s="12">
        <v>65957</v>
      </c>
      <c r="Q98" s="12">
        <v>71802</v>
      </c>
      <c r="R98" s="12">
        <v>137759</v>
      </c>
      <c r="S98" s="7">
        <v>509301.88407763996</v>
      </c>
      <c r="T98" s="7">
        <v>1082275.0297785301</v>
      </c>
      <c r="U98" s="7">
        <v>35422.725754999999</v>
      </c>
      <c r="V98" s="7">
        <v>3873.2671959999998</v>
      </c>
      <c r="W98" s="7">
        <v>5</v>
      </c>
      <c r="X98" s="7">
        <v>17</v>
      </c>
      <c r="Y98" s="7">
        <v>7</v>
      </c>
      <c r="Z98" s="7">
        <v>30</v>
      </c>
      <c r="AA98" s="7">
        <v>3</v>
      </c>
      <c r="AB98" s="7">
        <v>28</v>
      </c>
      <c r="AC98" s="7">
        <v>8</v>
      </c>
      <c r="AD98" s="7">
        <v>20</v>
      </c>
      <c r="AE98" s="7">
        <v>13198.889611633726</v>
      </c>
      <c r="AF98" s="7">
        <v>12543</v>
      </c>
      <c r="AG98" s="7">
        <v>913</v>
      </c>
      <c r="AH98" s="7">
        <v>20</v>
      </c>
      <c r="AI98" s="7">
        <v>520</v>
      </c>
      <c r="AJ98" s="7">
        <v>590</v>
      </c>
      <c r="AK98" s="7">
        <v>2030</v>
      </c>
      <c r="AL98" s="7">
        <v>15250</v>
      </c>
      <c r="AM98" s="2">
        <v>281.625</v>
      </c>
      <c r="AN98" s="2">
        <v>26002</v>
      </c>
      <c r="AO98" s="2">
        <v>66</v>
      </c>
      <c r="AP98" s="2">
        <v>304</v>
      </c>
      <c r="AQ98" s="2">
        <v>15</v>
      </c>
      <c r="AR98" s="2">
        <v>59</v>
      </c>
      <c r="AS98" s="2">
        <v>305</v>
      </c>
      <c r="AT98" s="2">
        <v>87292</v>
      </c>
      <c r="AU98" s="2">
        <v>4408</v>
      </c>
      <c r="AV98" s="2">
        <v>57534</v>
      </c>
      <c r="AW98" s="1">
        <v>7</v>
      </c>
      <c r="AX98" s="1" t="s">
        <v>273</v>
      </c>
      <c r="AY98" s="2">
        <v>37</v>
      </c>
    </row>
    <row r="99" spans="1:51" x14ac:dyDescent="0.2">
      <c r="A99" s="1" t="s">
        <v>208</v>
      </c>
      <c r="B99" s="1" t="s">
        <v>207</v>
      </c>
      <c r="C99" s="1" t="s">
        <v>4</v>
      </c>
      <c r="D99" s="6">
        <v>78.467087212530245</v>
      </c>
      <c r="E99" s="8">
        <v>12</v>
      </c>
      <c r="F99" s="8">
        <v>72</v>
      </c>
      <c r="G99" s="8">
        <v>15</v>
      </c>
      <c r="H99" s="12">
        <v>15</v>
      </c>
      <c r="I99" s="12">
        <v>62</v>
      </c>
      <c r="J99" s="13">
        <v>175</v>
      </c>
      <c r="K99" s="13">
        <v>259</v>
      </c>
      <c r="L99" s="13">
        <v>98</v>
      </c>
      <c r="M99" s="13">
        <v>258</v>
      </c>
      <c r="N99" s="13">
        <v>1189</v>
      </c>
      <c r="O99" s="13">
        <v>1109</v>
      </c>
      <c r="P99" s="12">
        <v>1526</v>
      </c>
      <c r="Q99" s="12">
        <v>1562</v>
      </c>
      <c r="R99" s="12">
        <v>3088</v>
      </c>
      <c r="S99" s="7">
        <v>434886.78179737006</v>
      </c>
      <c r="T99" s="7">
        <v>6954.8908508499999</v>
      </c>
      <c r="U99" s="7">
        <v>1801.1481719999999</v>
      </c>
      <c r="V99" s="7">
        <v>78.819468999999998</v>
      </c>
      <c r="AE99" s="7">
        <v>2860.8365420560749</v>
      </c>
      <c r="AF99" s="7">
        <v>4474</v>
      </c>
      <c r="AG99" s="7">
        <v>1.58</v>
      </c>
      <c r="AI99" s="7">
        <v>296</v>
      </c>
      <c r="AJ99" s="7">
        <v>28</v>
      </c>
      <c r="AK99" s="7">
        <v>112</v>
      </c>
      <c r="AL99" s="7">
        <v>149070</v>
      </c>
      <c r="AM99" s="2">
        <v>242.5</v>
      </c>
      <c r="AN99" s="2">
        <v>373</v>
      </c>
      <c r="AO99" s="2">
        <v>2</v>
      </c>
      <c r="AP99" s="2">
        <v>1</v>
      </c>
      <c r="AQ99" s="2">
        <v>1</v>
      </c>
      <c r="AR99" s="2">
        <v>1</v>
      </c>
      <c r="AS99" s="2">
        <v>0</v>
      </c>
      <c r="AT99" s="2">
        <v>237</v>
      </c>
      <c r="AU99" s="2">
        <v>4</v>
      </c>
      <c r="AV99" s="2">
        <v>1476</v>
      </c>
      <c r="AW99" s="1">
        <v>4</v>
      </c>
      <c r="AX99" s="1" t="s">
        <v>272</v>
      </c>
      <c r="AY99" s="2">
        <v>3</v>
      </c>
    </row>
    <row r="100" spans="1:51" x14ac:dyDescent="0.2">
      <c r="A100" s="1" t="s">
        <v>210</v>
      </c>
      <c r="B100" s="1" t="s">
        <v>209</v>
      </c>
      <c r="C100" s="1" t="s">
        <v>46</v>
      </c>
      <c r="D100" s="6">
        <v>41.244374058630761</v>
      </c>
      <c r="E100" s="8">
        <v>15</v>
      </c>
      <c r="F100" s="8">
        <v>46</v>
      </c>
      <c r="G100" s="8">
        <v>4</v>
      </c>
      <c r="H100" s="12">
        <v>6</v>
      </c>
      <c r="I100" s="12">
        <v>36</v>
      </c>
      <c r="J100" s="13">
        <v>373</v>
      </c>
      <c r="K100" s="13">
        <v>426</v>
      </c>
      <c r="L100" s="13">
        <v>151</v>
      </c>
      <c r="M100" s="13">
        <v>436</v>
      </c>
      <c r="N100" s="13">
        <v>1267</v>
      </c>
      <c r="O100" s="13">
        <v>586</v>
      </c>
      <c r="P100" s="12">
        <v>1679</v>
      </c>
      <c r="Q100" s="12">
        <v>1560</v>
      </c>
      <c r="R100" s="12">
        <v>3239</v>
      </c>
      <c r="S100" s="7">
        <v>80.726968630000002</v>
      </c>
      <c r="T100" s="7">
        <v>340.40360575</v>
      </c>
      <c r="U100" s="7">
        <v>4266.5055869999997</v>
      </c>
      <c r="V100" s="7">
        <v>22.606743999999999</v>
      </c>
      <c r="AE100" s="7">
        <v>14488.512418818311</v>
      </c>
      <c r="AF100" s="7">
        <v>3776</v>
      </c>
      <c r="AG100" s="7">
        <v>409</v>
      </c>
      <c r="AI100" s="7">
        <v>670</v>
      </c>
      <c r="AJ100" s="7">
        <v>333</v>
      </c>
      <c r="AK100" s="7">
        <v>672</v>
      </c>
      <c r="AL100" s="7">
        <v>100</v>
      </c>
      <c r="AM100" s="2">
        <v>256</v>
      </c>
      <c r="AN100" s="2">
        <v>544</v>
      </c>
      <c r="AO100" s="2">
        <v>1</v>
      </c>
      <c r="AP100" s="2">
        <v>1</v>
      </c>
      <c r="AQ100" s="2">
        <v>1</v>
      </c>
      <c r="AR100" s="2">
        <v>1</v>
      </c>
      <c r="AS100" s="2">
        <v>0</v>
      </c>
      <c r="AT100" s="2">
        <v>273</v>
      </c>
      <c r="AU100" s="2">
        <v>2</v>
      </c>
      <c r="AV100" s="2">
        <v>1974</v>
      </c>
      <c r="AW100" s="1">
        <v>4</v>
      </c>
      <c r="AX100" s="1" t="s">
        <v>271</v>
      </c>
      <c r="AY100" s="2">
        <v>4</v>
      </c>
    </row>
    <row r="101" spans="1:51" x14ac:dyDescent="0.2">
      <c r="A101" s="1" t="s">
        <v>212</v>
      </c>
      <c r="B101" s="1" t="s">
        <v>211</v>
      </c>
      <c r="C101" s="1" t="s">
        <v>46</v>
      </c>
      <c r="D101" s="6">
        <v>137.22388692962755</v>
      </c>
      <c r="E101" s="8">
        <v>45</v>
      </c>
      <c r="F101" s="8">
        <v>180</v>
      </c>
      <c r="G101" s="8">
        <v>38</v>
      </c>
      <c r="H101" s="12">
        <v>46</v>
      </c>
      <c r="I101" s="12">
        <v>797</v>
      </c>
      <c r="J101" s="13">
        <v>745</v>
      </c>
      <c r="K101" s="13">
        <v>952</v>
      </c>
      <c r="L101" s="13">
        <v>329</v>
      </c>
      <c r="M101" s="13">
        <v>836</v>
      </c>
      <c r="N101" s="13">
        <v>2516</v>
      </c>
      <c r="O101" s="13">
        <v>1052</v>
      </c>
      <c r="P101" s="12">
        <v>3197</v>
      </c>
      <c r="Q101" s="12">
        <v>3233</v>
      </c>
      <c r="R101" s="12">
        <v>6430</v>
      </c>
      <c r="S101" s="7">
        <v>15905.60951312</v>
      </c>
      <c r="T101" s="7">
        <v>417.47870961000001</v>
      </c>
      <c r="U101" s="7">
        <v>12079.033329</v>
      </c>
      <c r="V101" s="7">
        <v>65.060985000000002</v>
      </c>
      <c r="AE101" s="7">
        <v>43531.619404403609</v>
      </c>
      <c r="AF101" s="7">
        <v>7919</v>
      </c>
      <c r="AG101" s="7">
        <v>188</v>
      </c>
      <c r="AH101" s="7">
        <v>14</v>
      </c>
      <c r="AI101" s="7">
        <v>1620</v>
      </c>
      <c r="AJ101" s="7">
        <v>31</v>
      </c>
      <c r="AK101" s="7">
        <v>412</v>
      </c>
      <c r="AL101" s="7">
        <v>6060</v>
      </c>
      <c r="AM101" s="2">
        <v>294</v>
      </c>
      <c r="AN101" s="2">
        <v>1851</v>
      </c>
      <c r="AO101" s="2">
        <v>4</v>
      </c>
      <c r="AP101" s="2">
        <v>1</v>
      </c>
      <c r="AQ101" s="2">
        <v>1</v>
      </c>
      <c r="AR101" s="2">
        <v>1</v>
      </c>
      <c r="AS101" s="2">
        <v>0</v>
      </c>
      <c r="AT101" s="2">
        <v>963</v>
      </c>
      <c r="AU101" s="2">
        <v>4</v>
      </c>
      <c r="AV101" s="2">
        <v>4740</v>
      </c>
      <c r="AW101" s="1">
        <v>9</v>
      </c>
      <c r="AX101" s="1" t="s">
        <v>271</v>
      </c>
      <c r="AY101" s="2">
        <v>3</v>
      </c>
    </row>
    <row r="102" spans="1:51" x14ac:dyDescent="0.2">
      <c r="A102" s="1" t="s">
        <v>214</v>
      </c>
      <c r="B102" s="1" t="s">
        <v>213</v>
      </c>
      <c r="C102" s="1" t="s">
        <v>46</v>
      </c>
      <c r="D102" s="6">
        <v>161.90658618082642</v>
      </c>
      <c r="E102" s="8">
        <v>31</v>
      </c>
      <c r="F102" s="8">
        <v>177</v>
      </c>
      <c r="G102" s="8">
        <v>22</v>
      </c>
      <c r="H102" s="12">
        <v>77</v>
      </c>
      <c r="I102" s="12">
        <v>1003</v>
      </c>
      <c r="J102" s="13">
        <v>1002</v>
      </c>
      <c r="K102" s="13">
        <v>1134</v>
      </c>
      <c r="L102" s="13">
        <v>410</v>
      </c>
      <c r="M102" s="13">
        <v>1103</v>
      </c>
      <c r="N102" s="13">
        <v>3447</v>
      </c>
      <c r="O102" s="13">
        <v>1695</v>
      </c>
      <c r="P102" s="12">
        <v>4541</v>
      </c>
      <c r="Q102" s="12">
        <v>4250</v>
      </c>
      <c r="R102" s="12">
        <v>8791</v>
      </c>
      <c r="S102" s="7">
        <v>16604.916720739999</v>
      </c>
      <c r="T102" s="7">
        <v>20198.259136419998</v>
      </c>
      <c r="U102" s="7">
        <v>12744.212380000001</v>
      </c>
      <c r="V102" s="7">
        <v>278.80124999999998</v>
      </c>
      <c r="AE102" s="7">
        <v>16923.45</v>
      </c>
      <c r="AF102" s="7">
        <v>20969</v>
      </c>
      <c r="AG102" s="7">
        <v>165</v>
      </c>
      <c r="AH102" s="7">
        <v>12</v>
      </c>
      <c r="AI102" s="7">
        <v>372</v>
      </c>
      <c r="AJ102" s="7">
        <v>48</v>
      </c>
      <c r="AK102" s="7">
        <v>280</v>
      </c>
      <c r="AL102" s="7">
        <v>250300</v>
      </c>
      <c r="AM102" s="2">
        <v>272.5</v>
      </c>
      <c r="AN102" s="2">
        <v>1316</v>
      </c>
      <c r="AO102" s="2">
        <v>2</v>
      </c>
      <c r="AP102" s="2">
        <v>2</v>
      </c>
      <c r="AQ102" s="2">
        <v>1</v>
      </c>
      <c r="AR102" s="2">
        <v>1</v>
      </c>
      <c r="AS102" s="2">
        <v>0</v>
      </c>
      <c r="AT102" s="2">
        <v>1445</v>
      </c>
      <c r="AU102" s="2">
        <v>7</v>
      </c>
      <c r="AV102" s="2">
        <v>4049</v>
      </c>
      <c r="AW102" s="1">
        <v>10</v>
      </c>
      <c r="AX102" s="1" t="s">
        <v>271</v>
      </c>
      <c r="AY102" s="2">
        <v>9</v>
      </c>
    </row>
    <row r="103" spans="1:51" x14ac:dyDescent="0.2">
      <c r="A103" s="1" t="s">
        <v>216</v>
      </c>
      <c r="B103" s="1" t="s">
        <v>215</v>
      </c>
      <c r="C103" s="1" t="s">
        <v>22</v>
      </c>
      <c r="D103" s="6">
        <v>51.220327701064811</v>
      </c>
      <c r="E103" s="8">
        <v>10</v>
      </c>
      <c r="F103" s="8">
        <v>64</v>
      </c>
      <c r="G103" s="8">
        <v>4</v>
      </c>
      <c r="H103" s="12">
        <v>12</v>
      </c>
      <c r="I103" s="12">
        <v>332</v>
      </c>
      <c r="J103" s="13">
        <v>220</v>
      </c>
      <c r="K103" s="13">
        <v>306</v>
      </c>
      <c r="L103" s="13">
        <v>114</v>
      </c>
      <c r="M103" s="13">
        <v>315</v>
      </c>
      <c r="N103" s="13">
        <v>1120</v>
      </c>
      <c r="O103" s="13">
        <v>793</v>
      </c>
      <c r="P103" s="12">
        <v>1479</v>
      </c>
      <c r="Q103" s="12">
        <v>1389</v>
      </c>
      <c r="R103" s="12">
        <v>2868</v>
      </c>
      <c r="S103" s="7">
        <v>333509.68156545993</v>
      </c>
      <c r="T103" s="7">
        <v>6409.3609351399991</v>
      </c>
      <c r="U103" s="7">
        <v>2653.2616090000001</v>
      </c>
      <c r="V103" s="7">
        <v>66.678258999999997</v>
      </c>
      <c r="AE103" s="7">
        <v>16606.007200221764</v>
      </c>
      <c r="AF103" s="7">
        <v>6780</v>
      </c>
      <c r="AG103" s="7">
        <v>186</v>
      </c>
      <c r="AI103" s="7">
        <v>2970</v>
      </c>
      <c r="AJ103" s="7">
        <v>3700</v>
      </c>
      <c r="AK103" s="7">
        <v>2450</v>
      </c>
      <c r="AL103" s="7">
        <v>2300</v>
      </c>
      <c r="AM103" s="2">
        <v>245</v>
      </c>
      <c r="AN103" s="2">
        <v>279</v>
      </c>
      <c r="AO103" s="2">
        <v>1</v>
      </c>
      <c r="AP103" s="2">
        <v>1</v>
      </c>
      <c r="AQ103" s="2">
        <v>1</v>
      </c>
      <c r="AR103" s="2">
        <v>1</v>
      </c>
      <c r="AS103" s="2">
        <v>0</v>
      </c>
      <c r="AT103" s="2">
        <v>147</v>
      </c>
      <c r="AU103" s="2">
        <v>3</v>
      </c>
      <c r="AV103" s="2">
        <v>1689</v>
      </c>
      <c r="AW103" s="1">
        <v>4</v>
      </c>
      <c r="AX103" s="1" t="s">
        <v>271</v>
      </c>
      <c r="AY103" s="2">
        <v>3</v>
      </c>
    </row>
    <row r="104" spans="1:51" x14ac:dyDescent="0.2">
      <c r="A104" s="1" t="s">
        <v>218</v>
      </c>
      <c r="B104" s="1" t="s">
        <v>217</v>
      </c>
      <c r="C104" s="1" t="s">
        <v>10</v>
      </c>
      <c r="D104" s="6">
        <v>194.14502478123683</v>
      </c>
      <c r="E104" s="8">
        <v>38</v>
      </c>
      <c r="F104" s="8">
        <v>152</v>
      </c>
      <c r="G104" s="8">
        <v>28</v>
      </c>
      <c r="H104" s="12">
        <v>47</v>
      </c>
      <c r="I104" s="12">
        <v>477</v>
      </c>
      <c r="J104" s="13">
        <v>611</v>
      </c>
      <c r="K104" s="13">
        <v>791</v>
      </c>
      <c r="L104" s="13">
        <v>302</v>
      </c>
      <c r="M104" s="13">
        <v>849</v>
      </c>
      <c r="N104" s="13">
        <v>2736</v>
      </c>
      <c r="O104" s="13">
        <v>1298</v>
      </c>
      <c r="P104" s="12">
        <v>3323</v>
      </c>
      <c r="Q104" s="12">
        <v>3264</v>
      </c>
      <c r="R104" s="12">
        <v>6587</v>
      </c>
      <c r="S104" s="7">
        <v>166902.50316992999</v>
      </c>
      <c r="T104" s="7">
        <v>29280.978342890001</v>
      </c>
      <c r="U104" s="7">
        <v>8164.4627200000004</v>
      </c>
      <c r="V104" s="7">
        <v>58.7</v>
      </c>
      <c r="AE104" s="7">
        <v>37667.187945509264</v>
      </c>
      <c r="AF104" s="7">
        <v>4455</v>
      </c>
      <c r="AG104" s="7">
        <v>155</v>
      </c>
      <c r="AH104" s="7">
        <v>9</v>
      </c>
      <c r="AI104" s="7">
        <v>465</v>
      </c>
      <c r="AJ104" s="7">
        <v>167</v>
      </c>
      <c r="AK104" s="7">
        <v>36</v>
      </c>
      <c r="AL104" s="7">
        <v>280</v>
      </c>
      <c r="AM104" s="2">
        <v>251.5</v>
      </c>
      <c r="AN104" s="2">
        <v>899</v>
      </c>
      <c r="AO104" s="2">
        <v>2</v>
      </c>
      <c r="AP104" s="2">
        <v>5</v>
      </c>
      <c r="AQ104" s="2">
        <v>2</v>
      </c>
      <c r="AR104" s="2">
        <v>1</v>
      </c>
      <c r="AS104" s="2">
        <v>0</v>
      </c>
      <c r="AT104" s="2">
        <v>699</v>
      </c>
      <c r="AU104" s="2">
        <v>9</v>
      </c>
      <c r="AV104" s="2">
        <v>4733</v>
      </c>
      <c r="AW104" s="1">
        <v>4</v>
      </c>
      <c r="AX104" s="1" t="s">
        <v>272</v>
      </c>
      <c r="AY104" s="2">
        <v>6</v>
      </c>
    </row>
    <row r="105" spans="1:51" x14ac:dyDescent="0.2">
      <c r="A105" s="1" t="s">
        <v>220</v>
      </c>
      <c r="B105" s="1" t="s">
        <v>219</v>
      </c>
      <c r="C105" s="1" t="s">
        <v>4</v>
      </c>
      <c r="D105" s="6">
        <v>91.345127094578601</v>
      </c>
      <c r="E105" s="8">
        <v>24</v>
      </c>
      <c r="F105" s="8">
        <v>79</v>
      </c>
      <c r="G105" s="8">
        <v>8</v>
      </c>
      <c r="H105" s="12">
        <v>14</v>
      </c>
      <c r="I105" s="12">
        <v>46</v>
      </c>
      <c r="J105" s="13">
        <v>318</v>
      </c>
      <c r="K105" s="13">
        <v>454</v>
      </c>
      <c r="L105" s="13">
        <v>173</v>
      </c>
      <c r="M105" s="13">
        <v>449</v>
      </c>
      <c r="N105" s="13">
        <v>1717</v>
      </c>
      <c r="O105" s="13">
        <v>1425</v>
      </c>
      <c r="P105" s="12">
        <v>2221</v>
      </c>
      <c r="Q105" s="12">
        <v>2315</v>
      </c>
      <c r="R105" s="12">
        <v>4536</v>
      </c>
      <c r="S105" s="7">
        <v>52.495935639999992</v>
      </c>
      <c r="T105" s="7">
        <v>99.176939680000004</v>
      </c>
      <c r="U105" s="7">
        <v>2870.0729310000002</v>
      </c>
      <c r="V105" s="7">
        <v>6.165832</v>
      </c>
      <c r="AE105" s="7">
        <v>3975.068584070797</v>
      </c>
      <c r="AF105" s="7">
        <v>3502</v>
      </c>
      <c r="AG105" s="7">
        <v>812</v>
      </c>
      <c r="AI105" s="7">
        <v>487</v>
      </c>
      <c r="AJ105" s="7">
        <v>80</v>
      </c>
      <c r="AK105" s="7">
        <v>246</v>
      </c>
      <c r="AL105" s="7">
        <v>376790</v>
      </c>
      <c r="AM105" s="2">
        <v>245</v>
      </c>
      <c r="AN105" s="2">
        <v>349</v>
      </c>
      <c r="AO105" s="2">
        <v>2</v>
      </c>
      <c r="AP105" s="2">
        <v>1</v>
      </c>
      <c r="AQ105" s="2">
        <v>1</v>
      </c>
      <c r="AR105" s="2">
        <v>1</v>
      </c>
      <c r="AS105" s="2">
        <v>0</v>
      </c>
      <c r="AT105" s="2">
        <v>495</v>
      </c>
      <c r="AU105" s="2">
        <v>2</v>
      </c>
      <c r="AV105" s="2">
        <v>2305</v>
      </c>
      <c r="AW105" s="1">
        <v>2</v>
      </c>
      <c r="AX105" s="1" t="s">
        <v>270</v>
      </c>
      <c r="AY105" s="2">
        <v>7</v>
      </c>
    </row>
    <row r="106" spans="1:51" x14ac:dyDescent="0.2">
      <c r="A106" s="1" t="s">
        <v>222</v>
      </c>
      <c r="B106" s="1" t="s">
        <v>221</v>
      </c>
      <c r="C106" s="1" t="s">
        <v>19</v>
      </c>
      <c r="D106" s="6">
        <v>147.06076194532412</v>
      </c>
      <c r="E106" s="8">
        <v>27</v>
      </c>
      <c r="F106" s="8">
        <v>195</v>
      </c>
      <c r="G106" s="8">
        <v>14</v>
      </c>
      <c r="H106" s="12">
        <v>36</v>
      </c>
      <c r="I106" s="12">
        <v>439</v>
      </c>
      <c r="J106" s="13">
        <v>618</v>
      </c>
      <c r="K106" s="13">
        <v>803</v>
      </c>
      <c r="L106" s="13">
        <v>282</v>
      </c>
      <c r="M106" s="13">
        <v>730</v>
      </c>
      <c r="N106" s="13">
        <v>2516</v>
      </c>
      <c r="O106" s="13">
        <v>1267</v>
      </c>
      <c r="P106" s="12">
        <v>3154</v>
      </c>
      <c r="Q106" s="12">
        <v>3062</v>
      </c>
      <c r="R106" s="12">
        <v>6216</v>
      </c>
      <c r="S106" s="7">
        <v>2.1428902000000001</v>
      </c>
      <c r="T106" s="7">
        <v>206.53986030000002</v>
      </c>
      <c r="U106" s="7">
        <v>4241.9175160000004</v>
      </c>
      <c r="V106" s="7">
        <v>21.524608000000001</v>
      </c>
      <c r="AE106" s="7">
        <v>1619.8490767246487</v>
      </c>
      <c r="AF106" s="7">
        <v>9583</v>
      </c>
      <c r="AG106" s="7">
        <v>96</v>
      </c>
      <c r="AI106" s="7">
        <v>268</v>
      </c>
      <c r="AJ106" s="7">
        <v>345</v>
      </c>
      <c r="AK106" s="7">
        <v>2010</v>
      </c>
      <c r="AL106" s="7">
        <v>480</v>
      </c>
      <c r="AM106" s="2">
        <v>265</v>
      </c>
      <c r="AN106" s="2">
        <v>959</v>
      </c>
      <c r="AO106" s="2">
        <v>2</v>
      </c>
      <c r="AP106" s="2">
        <v>2</v>
      </c>
      <c r="AQ106" s="2">
        <v>2</v>
      </c>
      <c r="AR106" s="2">
        <v>5</v>
      </c>
      <c r="AS106" s="2">
        <v>0</v>
      </c>
      <c r="AT106" s="2">
        <v>1956</v>
      </c>
      <c r="AU106" s="2">
        <v>24</v>
      </c>
      <c r="AV106" s="2">
        <v>2825</v>
      </c>
      <c r="AW106" s="1">
        <v>6</v>
      </c>
      <c r="AX106" s="1" t="s">
        <v>271</v>
      </c>
      <c r="AY106" s="2">
        <v>9</v>
      </c>
    </row>
    <row r="107" spans="1:51" x14ac:dyDescent="0.2">
      <c r="A107" s="1" t="s">
        <v>224</v>
      </c>
      <c r="B107" s="1" t="s">
        <v>223</v>
      </c>
      <c r="C107" s="1" t="s">
        <v>4</v>
      </c>
      <c r="D107" s="6">
        <v>100.7999380054284</v>
      </c>
      <c r="E107" s="8">
        <v>22</v>
      </c>
      <c r="F107" s="8">
        <v>103</v>
      </c>
      <c r="G107" s="8">
        <v>17</v>
      </c>
      <c r="H107" s="12">
        <v>27</v>
      </c>
      <c r="I107" s="12">
        <v>69</v>
      </c>
      <c r="J107" s="13">
        <v>263</v>
      </c>
      <c r="K107" s="13">
        <v>386</v>
      </c>
      <c r="L107" s="13">
        <v>156</v>
      </c>
      <c r="M107" s="13">
        <v>379</v>
      </c>
      <c r="N107" s="13">
        <v>1618</v>
      </c>
      <c r="O107" s="13">
        <v>1285</v>
      </c>
      <c r="P107" s="12">
        <v>2008</v>
      </c>
      <c r="Q107" s="12">
        <v>2079</v>
      </c>
      <c r="R107" s="12">
        <v>4087</v>
      </c>
      <c r="S107" s="7">
        <v>51947.660803849998</v>
      </c>
      <c r="T107" s="7">
        <v>17378.742039850003</v>
      </c>
      <c r="U107" s="7">
        <v>4749.4947039999997</v>
      </c>
      <c r="V107" s="7">
        <v>64.893674000000004</v>
      </c>
      <c r="AE107" s="7">
        <v>3849.758419009946</v>
      </c>
      <c r="AF107" s="7">
        <v>5831</v>
      </c>
      <c r="AG107" s="7">
        <v>940</v>
      </c>
      <c r="AI107" s="7">
        <v>1532</v>
      </c>
      <c r="AJ107" s="7">
        <v>54</v>
      </c>
      <c r="AK107" s="7">
        <v>9</v>
      </c>
      <c r="AM107" s="2">
        <v>277</v>
      </c>
      <c r="AN107" s="2">
        <v>431</v>
      </c>
      <c r="AO107" s="2">
        <v>1</v>
      </c>
      <c r="AP107" s="2">
        <v>2</v>
      </c>
      <c r="AQ107" s="2">
        <v>1</v>
      </c>
      <c r="AR107" s="2">
        <v>1</v>
      </c>
      <c r="AS107" s="2">
        <v>0</v>
      </c>
      <c r="AT107" s="2">
        <v>569</v>
      </c>
      <c r="AU107" s="2">
        <v>10</v>
      </c>
      <c r="AV107" s="2">
        <v>2293</v>
      </c>
      <c r="AW107" s="1">
        <v>3</v>
      </c>
      <c r="AX107" s="1" t="s">
        <v>272</v>
      </c>
      <c r="AY107" s="2">
        <v>5</v>
      </c>
    </row>
    <row r="108" spans="1:51" x14ac:dyDescent="0.2">
      <c r="A108" s="1" t="s">
        <v>226</v>
      </c>
      <c r="B108" s="1" t="s">
        <v>225</v>
      </c>
      <c r="C108" s="1" t="s">
        <v>25</v>
      </c>
      <c r="D108" s="6">
        <v>547.26410304241404</v>
      </c>
      <c r="E108" s="8">
        <v>46</v>
      </c>
      <c r="F108" s="8">
        <v>211</v>
      </c>
      <c r="G108" s="8">
        <v>34</v>
      </c>
      <c r="H108" s="12">
        <v>16</v>
      </c>
      <c r="I108" s="12">
        <v>108</v>
      </c>
      <c r="J108" s="13">
        <v>926</v>
      </c>
      <c r="K108" s="13">
        <v>1130</v>
      </c>
      <c r="L108" s="13">
        <v>400</v>
      </c>
      <c r="M108" s="13">
        <v>1001</v>
      </c>
      <c r="N108" s="13">
        <v>3697</v>
      </c>
      <c r="O108" s="13">
        <v>2540</v>
      </c>
      <c r="P108" s="12">
        <v>4776</v>
      </c>
      <c r="Q108" s="12">
        <v>4918</v>
      </c>
      <c r="R108" s="12">
        <v>9694</v>
      </c>
      <c r="S108" s="7">
        <v>52737.10394085</v>
      </c>
      <c r="T108" s="7">
        <v>19031.971671389998</v>
      </c>
      <c r="U108" s="7">
        <v>9394.6431510000002</v>
      </c>
      <c r="V108" s="7">
        <v>86.356560000000002</v>
      </c>
      <c r="AE108" s="7">
        <v>84285.198194202443</v>
      </c>
      <c r="AF108" s="7">
        <v>9811</v>
      </c>
      <c r="AG108" s="7">
        <v>4.431</v>
      </c>
      <c r="AH108" s="7">
        <v>14</v>
      </c>
      <c r="AI108" s="7">
        <v>1374</v>
      </c>
      <c r="AJ108" s="7">
        <v>113</v>
      </c>
      <c r="AK108" s="7">
        <v>370</v>
      </c>
      <c r="AL108" s="7">
        <v>130</v>
      </c>
      <c r="AM108" s="2">
        <v>263.66666666666669</v>
      </c>
      <c r="AN108" s="2">
        <v>1321</v>
      </c>
      <c r="AO108" s="2">
        <v>3</v>
      </c>
      <c r="AP108" s="2">
        <v>5</v>
      </c>
      <c r="AQ108" s="2">
        <v>2</v>
      </c>
      <c r="AR108" s="2">
        <v>2</v>
      </c>
      <c r="AS108" s="2">
        <v>0</v>
      </c>
      <c r="AT108" s="2">
        <v>468</v>
      </c>
      <c r="AU108" s="2">
        <v>20</v>
      </c>
      <c r="AV108" s="2">
        <v>6070</v>
      </c>
      <c r="AW108" s="1">
        <v>8</v>
      </c>
      <c r="AX108" s="1" t="s">
        <v>271</v>
      </c>
      <c r="AY108" s="2">
        <v>13</v>
      </c>
    </row>
    <row r="109" spans="1:51" x14ac:dyDescent="0.2">
      <c r="A109" s="1" t="s">
        <v>228</v>
      </c>
      <c r="B109" s="1" t="s">
        <v>227</v>
      </c>
      <c r="C109" s="1" t="s">
        <v>7</v>
      </c>
      <c r="D109" s="6">
        <v>1141.8358827488387</v>
      </c>
      <c r="E109" s="8">
        <v>120</v>
      </c>
      <c r="F109" s="8">
        <v>518</v>
      </c>
      <c r="G109" s="8">
        <v>19</v>
      </c>
      <c r="H109" s="12">
        <v>103</v>
      </c>
      <c r="I109" s="12">
        <v>778</v>
      </c>
      <c r="J109" s="13">
        <v>1279</v>
      </c>
      <c r="K109" s="13">
        <v>1555</v>
      </c>
      <c r="L109" s="13">
        <v>621</v>
      </c>
      <c r="M109" s="13">
        <v>1952</v>
      </c>
      <c r="N109" s="13">
        <v>6048</v>
      </c>
      <c r="O109" s="13">
        <v>2608</v>
      </c>
      <c r="P109" s="12">
        <v>6963</v>
      </c>
      <c r="Q109" s="12">
        <v>7100</v>
      </c>
      <c r="R109" s="12">
        <v>14063</v>
      </c>
      <c r="S109" s="7">
        <v>94.988494430000003</v>
      </c>
      <c r="T109" s="7">
        <v>6120.9524154800001</v>
      </c>
      <c r="U109" s="7">
        <v>12717.183913999999</v>
      </c>
      <c r="V109" s="7">
        <v>253.784571</v>
      </c>
      <c r="W109" s="7">
        <v>21</v>
      </c>
      <c r="X109" s="7">
        <v>4</v>
      </c>
      <c r="Y109" s="7">
        <v>25</v>
      </c>
      <c r="Z109" s="7">
        <v>8</v>
      </c>
      <c r="AA109" s="7">
        <v>59</v>
      </c>
      <c r="AB109" s="7">
        <v>86</v>
      </c>
      <c r="AC109" s="7">
        <v>82</v>
      </c>
      <c r="AD109" s="7">
        <v>6</v>
      </c>
      <c r="AE109" s="7">
        <v>20461.92586725804</v>
      </c>
      <c r="AF109" s="7">
        <v>9400</v>
      </c>
      <c r="AG109" s="7">
        <v>885</v>
      </c>
      <c r="AH109" s="7">
        <v>19</v>
      </c>
      <c r="AI109" s="7">
        <v>735</v>
      </c>
      <c r="AJ109" s="7">
        <v>226</v>
      </c>
      <c r="AK109" s="7">
        <v>1320</v>
      </c>
      <c r="AL109" s="7">
        <v>253715</v>
      </c>
      <c r="AM109" s="2">
        <v>270</v>
      </c>
      <c r="AN109" s="2">
        <v>1827</v>
      </c>
      <c r="AO109" s="2">
        <v>5</v>
      </c>
      <c r="AP109" s="2">
        <v>3</v>
      </c>
      <c r="AQ109" s="2">
        <v>1</v>
      </c>
      <c r="AR109" s="2">
        <v>1</v>
      </c>
      <c r="AS109" s="2">
        <v>0</v>
      </c>
      <c r="AT109" s="2">
        <v>1881</v>
      </c>
      <c r="AU109" s="2">
        <v>6</v>
      </c>
      <c r="AV109" s="2">
        <v>5323</v>
      </c>
      <c r="AW109" s="1">
        <v>8</v>
      </c>
      <c r="AX109" s="1" t="s">
        <v>271</v>
      </c>
      <c r="AY109" s="2">
        <v>10</v>
      </c>
    </row>
    <row r="110" spans="1:51" x14ac:dyDescent="0.2">
      <c r="A110" s="1" t="s">
        <v>230</v>
      </c>
      <c r="B110" s="1" t="s">
        <v>229</v>
      </c>
      <c r="C110" s="1" t="s">
        <v>10</v>
      </c>
      <c r="D110" s="6">
        <v>58.159375101172827</v>
      </c>
      <c r="E110" s="8">
        <v>23</v>
      </c>
      <c r="F110" s="8">
        <v>119</v>
      </c>
      <c r="G110" s="8">
        <v>17</v>
      </c>
      <c r="H110" s="12">
        <v>30</v>
      </c>
      <c r="I110" s="12">
        <v>119</v>
      </c>
      <c r="J110" s="13">
        <v>355</v>
      </c>
      <c r="K110" s="13">
        <v>392</v>
      </c>
      <c r="L110" s="13">
        <v>141</v>
      </c>
      <c r="M110" s="13">
        <v>406</v>
      </c>
      <c r="N110" s="13">
        <v>1409</v>
      </c>
      <c r="O110" s="13">
        <v>834</v>
      </c>
      <c r="P110" s="12">
        <v>1747</v>
      </c>
      <c r="Q110" s="12">
        <v>1790</v>
      </c>
      <c r="R110" s="12">
        <v>3537</v>
      </c>
      <c r="S110" s="7">
        <v>0.10309419</v>
      </c>
      <c r="T110" s="7">
        <v>162.29405667</v>
      </c>
      <c r="U110" s="7">
        <v>5828.786865</v>
      </c>
      <c r="V110" s="7">
        <v>29.737884000000001</v>
      </c>
      <c r="AE110" s="7">
        <v>3654.0532906345989</v>
      </c>
      <c r="AF110" s="7">
        <v>3238</v>
      </c>
      <c r="AG110" s="7">
        <v>300</v>
      </c>
      <c r="AI110" s="7">
        <v>370</v>
      </c>
      <c r="AJ110" s="7">
        <v>22</v>
      </c>
      <c r="AK110" s="7">
        <v>26</v>
      </c>
      <c r="AL110" s="7">
        <v>77180</v>
      </c>
      <c r="AM110" s="2">
        <v>278</v>
      </c>
      <c r="AN110" s="2">
        <v>522</v>
      </c>
      <c r="AO110" s="2">
        <v>2</v>
      </c>
      <c r="AP110" s="2">
        <v>2</v>
      </c>
      <c r="AQ110" s="2">
        <v>1</v>
      </c>
      <c r="AR110" s="2">
        <v>1</v>
      </c>
      <c r="AS110" s="2">
        <v>0</v>
      </c>
      <c r="AT110" s="2">
        <v>365</v>
      </c>
      <c r="AU110" s="2">
        <v>5</v>
      </c>
      <c r="AV110" s="2">
        <v>1968</v>
      </c>
      <c r="AW110" s="1">
        <v>3</v>
      </c>
      <c r="AX110" s="1" t="s">
        <v>271</v>
      </c>
      <c r="AY110" s="2">
        <v>4</v>
      </c>
    </row>
    <row r="111" spans="1:51" x14ac:dyDescent="0.2">
      <c r="A111" s="1" t="s">
        <v>232</v>
      </c>
      <c r="B111" s="1" t="s">
        <v>231</v>
      </c>
      <c r="C111" s="1" t="s">
        <v>22</v>
      </c>
      <c r="D111" s="6">
        <v>47.755578433243898</v>
      </c>
      <c r="E111" s="8">
        <v>10</v>
      </c>
      <c r="F111" s="8">
        <v>92</v>
      </c>
      <c r="G111" s="8">
        <v>16</v>
      </c>
      <c r="H111" s="12">
        <v>5</v>
      </c>
      <c r="I111" s="12">
        <v>59</v>
      </c>
      <c r="J111" s="13">
        <v>319</v>
      </c>
      <c r="K111" s="13">
        <v>412</v>
      </c>
      <c r="L111" s="13">
        <v>154</v>
      </c>
      <c r="M111" s="13">
        <v>405</v>
      </c>
      <c r="N111" s="13">
        <v>1427</v>
      </c>
      <c r="O111" s="13">
        <v>805</v>
      </c>
      <c r="P111" s="12">
        <v>1802</v>
      </c>
      <c r="Q111" s="12">
        <v>1720</v>
      </c>
      <c r="R111" s="12">
        <v>3522</v>
      </c>
      <c r="S111" s="7">
        <v>96423.866593060011</v>
      </c>
      <c r="T111" s="7">
        <v>10122.016098890001</v>
      </c>
      <c r="U111" s="7">
        <v>4750.0276549999999</v>
      </c>
      <c r="V111" s="7">
        <v>98.746887000000001</v>
      </c>
      <c r="AE111" s="7">
        <v>2419.6999999999998</v>
      </c>
      <c r="AF111" s="7">
        <v>4467</v>
      </c>
      <c r="AG111" s="7">
        <v>137</v>
      </c>
      <c r="AI111" s="7">
        <v>393</v>
      </c>
      <c r="AJ111" s="7">
        <v>2430</v>
      </c>
      <c r="AK111" s="7">
        <v>680</v>
      </c>
      <c r="AL111" s="7">
        <v>2100</v>
      </c>
      <c r="AM111" s="2">
        <v>280</v>
      </c>
      <c r="AN111" s="2">
        <v>540</v>
      </c>
      <c r="AO111" s="2">
        <v>1</v>
      </c>
      <c r="AP111" s="2">
        <v>2</v>
      </c>
      <c r="AQ111" s="2">
        <v>2</v>
      </c>
      <c r="AR111" s="2">
        <v>0</v>
      </c>
      <c r="AS111" s="2">
        <v>0</v>
      </c>
      <c r="AT111" s="2">
        <v>334</v>
      </c>
      <c r="AU111" s="2">
        <v>12</v>
      </c>
      <c r="AV111" s="2">
        <v>2719</v>
      </c>
      <c r="AW111" s="1">
        <v>3</v>
      </c>
      <c r="AX111" s="1" t="s">
        <v>271</v>
      </c>
      <c r="AY111" s="2">
        <v>4</v>
      </c>
    </row>
    <row r="112" spans="1:51" x14ac:dyDescent="0.2">
      <c r="A112" s="1" t="s">
        <v>234</v>
      </c>
      <c r="B112" s="1" t="s">
        <v>233</v>
      </c>
      <c r="C112" s="1" t="s">
        <v>46</v>
      </c>
      <c r="D112" s="6">
        <v>183.11577910903065</v>
      </c>
      <c r="E112" s="8">
        <v>74</v>
      </c>
      <c r="F112" s="8">
        <v>259</v>
      </c>
      <c r="G112" s="8">
        <v>49</v>
      </c>
      <c r="H112" s="12">
        <v>53</v>
      </c>
      <c r="I112" s="12">
        <v>1023</v>
      </c>
      <c r="J112" s="13">
        <v>1148</v>
      </c>
      <c r="K112" s="13">
        <v>1291</v>
      </c>
      <c r="L112" s="13">
        <v>461</v>
      </c>
      <c r="M112" s="13">
        <v>1279</v>
      </c>
      <c r="N112" s="13">
        <v>3663</v>
      </c>
      <c r="O112" s="13">
        <v>1586</v>
      </c>
      <c r="P112" s="12">
        <v>4799</v>
      </c>
      <c r="Q112" s="12">
        <v>4629</v>
      </c>
      <c r="R112" s="12">
        <v>9428</v>
      </c>
      <c r="S112" s="7">
        <v>7.01303E-3</v>
      </c>
      <c r="T112" s="7">
        <v>21518.898586509997</v>
      </c>
      <c r="U112" s="7">
        <v>11535.857209</v>
      </c>
      <c r="V112" s="7">
        <v>80.838898999999998</v>
      </c>
      <c r="AE112" s="7">
        <v>69569.561856486616</v>
      </c>
      <c r="AF112" s="7">
        <v>14067</v>
      </c>
      <c r="AG112" s="7">
        <v>816</v>
      </c>
      <c r="AH112" s="7">
        <v>9</v>
      </c>
      <c r="AI112" s="7">
        <v>1950</v>
      </c>
      <c r="AJ112" s="7">
        <v>202</v>
      </c>
      <c r="AK112" s="7">
        <v>1230</v>
      </c>
      <c r="AL112" s="7">
        <v>23670</v>
      </c>
      <c r="AM112" s="2">
        <v>266</v>
      </c>
      <c r="AN112" s="2">
        <v>2099</v>
      </c>
      <c r="AO112" s="2">
        <v>4</v>
      </c>
      <c r="AP112" s="2">
        <v>2</v>
      </c>
      <c r="AQ112" s="2">
        <v>2</v>
      </c>
      <c r="AR112" s="2">
        <v>2</v>
      </c>
      <c r="AS112" s="2">
        <v>4</v>
      </c>
      <c r="AT112" s="2">
        <v>1981</v>
      </c>
      <c r="AU112" s="2">
        <v>32</v>
      </c>
      <c r="AV112" s="2">
        <v>6796</v>
      </c>
      <c r="AW112" s="1">
        <v>5</v>
      </c>
      <c r="AX112" s="1" t="s">
        <v>272</v>
      </c>
      <c r="AY112" s="2">
        <v>4</v>
      </c>
    </row>
    <row r="113" spans="1:51" x14ac:dyDescent="0.2">
      <c r="A113" s="1" t="s">
        <v>236</v>
      </c>
      <c r="B113" s="1" t="s">
        <v>235</v>
      </c>
      <c r="C113" s="1" t="s">
        <v>10</v>
      </c>
      <c r="D113" s="6">
        <v>110.5590148714119</v>
      </c>
      <c r="E113" s="8">
        <v>24</v>
      </c>
      <c r="F113" s="8">
        <v>71</v>
      </c>
      <c r="G113" s="8">
        <v>8</v>
      </c>
      <c r="H113" s="12">
        <v>9</v>
      </c>
      <c r="I113" s="12">
        <v>62</v>
      </c>
      <c r="J113" s="13">
        <v>517</v>
      </c>
      <c r="K113" s="13">
        <v>640</v>
      </c>
      <c r="L113" s="13">
        <v>202</v>
      </c>
      <c r="M113" s="13">
        <v>445</v>
      </c>
      <c r="N113" s="13">
        <v>1883</v>
      </c>
      <c r="O113" s="13">
        <v>942</v>
      </c>
      <c r="P113" s="12">
        <v>2366</v>
      </c>
      <c r="Q113" s="12">
        <v>2263</v>
      </c>
      <c r="R113" s="12">
        <v>4629</v>
      </c>
      <c r="S113" s="7">
        <v>3911.5155985800002</v>
      </c>
      <c r="T113" s="7">
        <v>12448.737279590001</v>
      </c>
      <c r="U113" s="7">
        <v>4849.7016489999996</v>
      </c>
      <c r="V113" s="7">
        <v>92.979482000000004</v>
      </c>
      <c r="AE113" s="7">
        <v>334861.69</v>
      </c>
      <c r="AF113" s="7">
        <v>2933</v>
      </c>
      <c r="AG113" s="7">
        <v>254</v>
      </c>
      <c r="AI113" s="7">
        <v>1248</v>
      </c>
      <c r="AJ113" s="7">
        <v>24</v>
      </c>
      <c r="AK113" s="7">
        <v>40</v>
      </c>
      <c r="AL113" s="7">
        <v>240</v>
      </c>
      <c r="AM113" s="2">
        <v>248</v>
      </c>
      <c r="AN113" s="2">
        <v>800</v>
      </c>
      <c r="AO113" s="2">
        <v>1</v>
      </c>
      <c r="AP113" s="2">
        <v>2</v>
      </c>
      <c r="AQ113" s="2">
        <v>1</v>
      </c>
      <c r="AR113" s="2">
        <v>1</v>
      </c>
      <c r="AS113" s="2">
        <v>0</v>
      </c>
      <c r="AT113" s="2">
        <v>239</v>
      </c>
      <c r="AU113" s="2">
        <v>9</v>
      </c>
      <c r="AV113" s="2">
        <v>3889</v>
      </c>
      <c r="AW113" s="1">
        <v>4</v>
      </c>
      <c r="AX113" s="1" t="s">
        <v>272</v>
      </c>
      <c r="AY113" s="2">
        <v>1</v>
      </c>
    </row>
    <row r="114" spans="1:51" x14ac:dyDescent="0.2">
      <c r="A114" s="1" t="s">
        <v>238</v>
      </c>
      <c r="B114" s="1" t="s">
        <v>237</v>
      </c>
      <c r="C114" s="1" t="s">
        <v>7</v>
      </c>
      <c r="D114" s="6">
        <v>110.55316668685137</v>
      </c>
      <c r="E114" s="8">
        <v>38</v>
      </c>
      <c r="F114" s="8">
        <v>150</v>
      </c>
      <c r="G114" s="8">
        <v>7</v>
      </c>
      <c r="H114" s="12">
        <v>36</v>
      </c>
      <c r="I114" s="12">
        <v>298</v>
      </c>
      <c r="J114" s="13">
        <v>431</v>
      </c>
      <c r="K114" s="13">
        <v>490</v>
      </c>
      <c r="L114" s="13">
        <v>188</v>
      </c>
      <c r="M114" s="13">
        <v>544</v>
      </c>
      <c r="N114" s="13">
        <v>1541</v>
      </c>
      <c r="O114" s="13">
        <v>683</v>
      </c>
      <c r="P114" s="12">
        <v>1870</v>
      </c>
      <c r="Q114" s="12">
        <v>2007</v>
      </c>
      <c r="R114" s="12">
        <v>3877</v>
      </c>
      <c r="S114" s="7">
        <v>9387.2983155800011</v>
      </c>
      <c r="T114" s="7">
        <v>106.51166419999998</v>
      </c>
      <c r="U114" s="7">
        <v>2294.4198839999999</v>
      </c>
      <c r="V114" s="7">
        <v>674.12151300000005</v>
      </c>
      <c r="AE114" s="7">
        <v>2477.306813084112</v>
      </c>
      <c r="AF114" s="7">
        <v>1373</v>
      </c>
      <c r="AG114" s="7">
        <v>49</v>
      </c>
      <c r="AH114" s="7">
        <v>4</v>
      </c>
      <c r="AI114" s="7">
        <v>6290</v>
      </c>
      <c r="AJ114" s="7">
        <v>53</v>
      </c>
      <c r="AK114" s="7">
        <v>1280</v>
      </c>
      <c r="AL114" s="7">
        <v>340</v>
      </c>
      <c r="AM114" s="2">
        <v>265</v>
      </c>
      <c r="AN114" s="2">
        <v>670</v>
      </c>
      <c r="AO114" s="2">
        <v>2</v>
      </c>
      <c r="AP114" s="2">
        <v>1</v>
      </c>
      <c r="AQ114" s="2">
        <v>1</v>
      </c>
      <c r="AR114" s="2">
        <v>0</v>
      </c>
      <c r="AS114" s="2">
        <v>0</v>
      </c>
      <c r="AT114" s="2">
        <v>889</v>
      </c>
      <c r="AU114" s="2">
        <v>4</v>
      </c>
      <c r="AV114" s="2">
        <v>1912</v>
      </c>
      <c r="AW114" s="1">
        <v>4</v>
      </c>
      <c r="AX114" s="1" t="s">
        <v>272</v>
      </c>
      <c r="AY114" s="2">
        <v>5</v>
      </c>
    </row>
    <row r="115" spans="1:51" x14ac:dyDescent="0.2">
      <c r="A115" s="1" t="s">
        <v>240</v>
      </c>
      <c r="B115" s="1" t="s">
        <v>239</v>
      </c>
      <c r="C115" s="1" t="s">
        <v>7</v>
      </c>
      <c r="D115" s="6">
        <v>76.457477235298612</v>
      </c>
      <c r="E115" s="8">
        <v>35</v>
      </c>
      <c r="F115" s="8">
        <v>98</v>
      </c>
      <c r="G115" s="8">
        <v>6</v>
      </c>
      <c r="H115" s="12">
        <v>8</v>
      </c>
      <c r="I115" s="12">
        <v>79</v>
      </c>
      <c r="J115" s="13">
        <v>705</v>
      </c>
      <c r="K115" s="13">
        <v>759</v>
      </c>
      <c r="L115" s="13">
        <v>257</v>
      </c>
      <c r="M115" s="13">
        <v>657</v>
      </c>
      <c r="N115" s="13">
        <v>2197</v>
      </c>
      <c r="O115" s="13">
        <v>976</v>
      </c>
      <c r="P115" s="12">
        <v>2779</v>
      </c>
      <c r="Q115" s="12">
        <v>2772</v>
      </c>
      <c r="R115" s="12">
        <v>5551</v>
      </c>
      <c r="S115" s="7">
        <v>29.98415859</v>
      </c>
      <c r="T115" s="7">
        <v>118.48076504000001</v>
      </c>
      <c r="U115" s="7">
        <v>12860.537969999999</v>
      </c>
      <c r="V115" s="7">
        <v>119.21367600000001</v>
      </c>
      <c r="AE115" s="7">
        <v>15261.409023240427</v>
      </c>
      <c r="AF115" s="7">
        <v>9690</v>
      </c>
      <c r="AG115" s="7">
        <v>132</v>
      </c>
      <c r="AH115" s="7">
        <v>10</v>
      </c>
      <c r="AI115" s="7">
        <v>295</v>
      </c>
      <c r="AJ115" s="7">
        <v>250</v>
      </c>
      <c r="AK115" s="7">
        <v>5220</v>
      </c>
      <c r="AL115" s="7">
        <v>200</v>
      </c>
      <c r="AM115" s="2">
        <v>248</v>
      </c>
      <c r="AN115" s="2">
        <v>948</v>
      </c>
      <c r="AO115" s="2">
        <v>1</v>
      </c>
      <c r="AP115" s="2">
        <v>1</v>
      </c>
      <c r="AQ115" s="2">
        <v>2</v>
      </c>
      <c r="AR115" s="2">
        <v>1</v>
      </c>
      <c r="AS115" s="2">
        <v>0</v>
      </c>
      <c r="AT115" s="2">
        <v>298</v>
      </c>
      <c r="AU115" s="2">
        <v>5</v>
      </c>
      <c r="AV115" s="2">
        <v>4155</v>
      </c>
      <c r="AW115" s="1">
        <v>6</v>
      </c>
      <c r="AX115" s="1" t="s">
        <v>272</v>
      </c>
      <c r="AY115" s="2">
        <v>6</v>
      </c>
    </row>
    <row r="116" spans="1:51" x14ac:dyDescent="0.2">
      <c r="A116" s="1" t="s">
        <v>242</v>
      </c>
      <c r="B116" s="1" t="s">
        <v>241</v>
      </c>
      <c r="C116" s="1" t="s">
        <v>46</v>
      </c>
      <c r="D116" s="6">
        <v>5163.7102886380608</v>
      </c>
      <c r="E116" s="8">
        <v>2419</v>
      </c>
      <c r="F116" s="8">
        <v>9184</v>
      </c>
      <c r="G116" s="8">
        <v>2483</v>
      </c>
      <c r="H116" s="12">
        <v>5001</v>
      </c>
      <c r="I116" s="12">
        <v>65805</v>
      </c>
      <c r="J116" s="13">
        <v>15738</v>
      </c>
      <c r="K116" s="13">
        <v>21335</v>
      </c>
      <c r="L116" s="13">
        <v>9257</v>
      </c>
      <c r="M116" s="13">
        <v>30856</v>
      </c>
      <c r="N116" s="13">
        <v>85441</v>
      </c>
      <c r="O116" s="13">
        <v>24659</v>
      </c>
      <c r="P116" s="12">
        <v>88641</v>
      </c>
      <c r="Q116" s="12">
        <v>98645</v>
      </c>
      <c r="R116" s="12">
        <v>187286</v>
      </c>
      <c r="S116" s="7">
        <v>277708.87849937001</v>
      </c>
      <c r="T116" s="7">
        <v>2643042.4144032393</v>
      </c>
      <c r="U116" s="7">
        <v>82321.265041999999</v>
      </c>
      <c r="V116" s="7">
        <v>9876.0276699999995</v>
      </c>
      <c r="W116" s="7">
        <v>7</v>
      </c>
      <c r="X116" s="7">
        <v>11</v>
      </c>
      <c r="Y116" s="7">
        <v>9</v>
      </c>
      <c r="Z116" s="7">
        <v>67</v>
      </c>
      <c r="AA116" s="7">
        <v>16</v>
      </c>
      <c r="AB116" s="7">
        <v>6</v>
      </c>
      <c r="AC116" s="7">
        <v>3</v>
      </c>
      <c r="AD116" s="7">
        <v>21</v>
      </c>
      <c r="AE116" s="7">
        <v>106100.34755898308</v>
      </c>
      <c r="AF116" s="7">
        <v>10538</v>
      </c>
      <c r="AG116" s="7">
        <v>966</v>
      </c>
      <c r="AI116" s="7">
        <v>270</v>
      </c>
      <c r="AJ116" s="7">
        <v>88</v>
      </c>
      <c r="AK116" s="7">
        <v>2500</v>
      </c>
      <c r="AL116" s="7">
        <v>620</v>
      </c>
      <c r="AM116" s="2">
        <v>290.45</v>
      </c>
      <c r="AN116" s="2">
        <v>35538</v>
      </c>
      <c r="AO116" s="2">
        <v>125</v>
      </c>
      <c r="AP116" s="2">
        <v>648</v>
      </c>
      <c r="AQ116" s="2">
        <v>45</v>
      </c>
      <c r="AR116" s="2">
        <v>165</v>
      </c>
      <c r="AS116" s="2">
        <v>855</v>
      </c>
      <c r="AT116" s="2">
        <v>136796</v>
      </c>
      <c r="AU116" s="2">
        <v>12650</v>
      </c>
      <c r="AV116" s="2">
        <v>68998</v>
      </c>
      <c r="AW116" s="1">
        <v>19</v>
      </c>
      <c r="AX116" s="1" t="s">
        <v>273</v>
      </c>
      <c r="AY116" s="2">
        <v>27</v>
      </c>
    </row>
    <row r="117" spans="1:51" x14ac:dyDescent="0.2">
      <c r="A117" s="1" t="s">
        <v>244</v>
      </c>
      <c r="B117" s="1" t="s">
        <v>243</v>
      </c>
      <c r="C117" s="1" t="s">
        <v>28</v>
      </c>
      <c r="D117" s="6">
        <v>124.59408496383321</v>
      </c>
      <c r="E117" s="8">
        <v>21</v>
      </c>
      <c r="F117" s="8">
        <v>44</v>
      </c>
      <c r="G117" s="8">
        <v>14</v>
      </c>
      <c r="H117" s="12">
        <v>3</v>
      </c>
      <c r="I117" s="12">
        <v>20</v>
      </c>
      <c r="J117" s="13">
        <v>202</v>
      </c>
      <c r="K117" s="13">
        <v>194</v>
      </c>
      <c r="L117" s="13">
        <v>64</v>
      </c>
      <c r="M117" s="13">
        <v>192</v>
      </c>
      <c r="N117" s="13">
        <v>657</v>
      </c>
      <c r="O117" s="13">
        <v>342</v>
      </c>
      <c r="P117" s="12">
        <v>910</v>
      </c>
      <c r="Q117" s="12">
        <v>741</v>
      </c>
      <c r="R117" s="12">
        <v>1651</v>
      </c>
      <c r="S117" s="7">
        <v>295.85277998999999</v>
      </c>
      <c r="T117" s="7">
        <v>5.2260948699999998</v>
      </c>
      <c r="U117" s="7">
        <v>1043.121989</v>
      </c>
      <c r="V117" s="7">
        <v>0</v>
      </c>
      <c r="AE117" s="7">
        <v>10818.13</v>
      </c>
      <c r="AF117" s="7">
        <v>860</v>
      </c>
      <c r="AG117" s="7">
        <v>55</v>
      </c>
      <c r="AI117" s="7">
        <v>1620</v>
      </c>
      <c r="AJ117" s="7">
        <v>7</v>
      </c>
      <c r="AL117" s="7">
        <v>190</v>
      </c>
      <c r="AM117" s="2">
        <v>245</v>
      </c>
      <c r="AN117" s="2">
        <v>285</v>
      </c>
      <c r="AO117" s="2">
        <v>1</v>
      </c>
      <c r="AP117" s="2">
        <v>1</v>
      </c>
      <c r="AQ117" s="2">
        <v>1</v>
      </c>
      <c r="AR117" s="2">
        <v>1</v>
      </c>
      <c r="AS117" s="2">
        <v>0</v>
      </c>
      <c r="AT117" s="2">
        <v>113</v>
      </c>
      <c r="AU117" s="2">
        <v>4</v>
      </c>
      <c r="AV117" s="2">
        <v>1248</v>
      </c>
      <c r="AW117" s="1">
        <v>3</v>
      </c>
      <c r="AX117" s="1" t="s">
        <v>272</v>
      </c>
    </row>
    <row r="118" spans="1:51" x14ac:dyDescent="0.2">
      <c r="A118" s="1" t="s">
        <v>246</v>
      </c>
      <c r="B118" s="1" t="s">
        <v>245</v>
      </c>
      <c r="C118" s="1" t="s">
        <v>25</v>
      </c>
      <c r="D118" s="6">
        <v>189.86417131485757</v>
      </c>
      <c r="E118" s="8">
        <v>16</v>
      </c>
      <c r="F118" s="8">
        <v>171</v>
      </c>
      <c r="G118" s="8">
        <v>15</v>
      </c>
      <c r="H118" s="12">
        <v>34</v>
      </c>
      <c r="I118" s="12">
        <v>128</v>
      </c>
      <c r="J118" s="13">
        <v>570</v>
      </c>
      <c r="K118" s="13">
        <v>773</v>
      </c>
      <c r="L118" s="13">
        <v>279</v>
      </c>
      <c r="M118" s="13">
        <v>615</v>
      </c>
      <c r="N118" s="13">
        <v>2570</v>
      </c>
      <c r="O118" s="13">
        <v>1721</v>
      </c>
      <c r="P118" s="12">
        <v>3236</v>
      </c>
      <c r="Q118" s="12">
        <v>3292</v>
      </c>
      <c r="R118" s="12">
        <v>6528</v>
      </c>
      <c r="S118" s="7">
        <v>36331.793652060005</v>
      </c>
      <c r="T118" s="7">
        <v>21306.825204200002</v>
      </c>
      <c r="U118" s="7">
        <v>8288.3342420000008</v>
      </c>
      <c r="V118" s="7">
        <v>76.38</v>
      </c>
      <c r="AE118" s="7">
        <v>23503.852273507822</v>
      </c>
      <c r="AF118" s="7">
        <v>11046</v>
      </c>
      <c r="AG118" s="7">
        <v>472</v>
      </c>
      <c r="AI118" s="7">
        <v>2650</v>
      </c>
      <c r="AJ118" s="7">
        <v>32</v>
      </c>
      <c r="AK118" s="7">
        <v>550</v>
      </c>
      <c r="AL118" s="7">
        <v>207230</v>
      </c>
      <c r="AM118" s="2">
        <v>274.5</v>
      </c>
      <c r="AN118" s="2">
        <v>1279</v>
      </c>
      <c r="AO118" s="2">
        <v>3</v>
      </c>
      <c r="AP118" s="2">
        <v>3</v>
      </c>
      <c r="AQ118" s="2">
        <v>1</v>
      </c>
      <c r="AR118" s="2">
        <v>1</v>
      </c>
      <c r="AS118" s="2">
        <v>3</v>
      </c>
      <c r="AT118" s="2">
        <v>416</v>
      </c>
      <c r="AU118" s="2">
        <v>48</v>
      </c>
      <c r="AV118" s="2">
        <v>4386</v>
      </c>
      <c r="AW118" s="1">
        <v>10</v>
      </c>
      <c r="AX118" s="1" t="s">
        <v>272</v>
      </c>
      <c r="AY118" s="2">
        <v>4</v>
      </c>
    </row>
    <row r="119" spans="1:51" x14ac:dyDescent="0.2">
      <c r="A119" s="1" t="s">
        <v>248</v>
      </c>
      <c r="B119" s="1" t="s">
        <v>247</v>
      </c>
      <c r="C119" s="1" t="s">
        <v>46</v>
      </c>
      <c r="D119" s="6">
        <v>1134.5396490602366</v>
      </c>
      <c r="E119" s="8">
        <v>57</v>
      </c>
      <c r="F119" s="8">
        <v>269</v>
      </c>
      <c r="G119" s="8">
        <v>40</v>
      </c>
      <c r="H119" s="12">
        <v>71</v>
      </c>
      <c r="I119" s="12">
        <v>1047</v>
      </c>
      <c r="J119" s="13">
        <v>962</v>
      </c>
      <c r="K119" s="13">
        <v>1133</v>
      </c>
      <c r="L119" s="13">
        <v>400</v>
      </c>
      <c r="M119" s="13">
        <v>1123</v>
      </c>
      <c r="N119" s="13">
        <v>3520</v>
      </c>
      <c r="O119" s="13">
        <v>1777</v>
      </c>
      <c r="P119" s="12">
        <v>4361</v>
      </c>
      <c r="Q119" s="12">
        <v>4554</v>
      </c>
      <c r="R119" s="12">
        <v>8915</v>
      </c>
      <c r="S119" s="7">
        <v>579.94998205999991</v>
      </c>
      <c r="T119" s="7">
        <v>25034.531385679998</v>
      </c>
      <c r="U119" s="7">
        <v>14604.442681</v>
      </c>
      <c r="V119" s="7">
        <v>765.72487599999999</v>
      </c>
      <c r="W119" s="7">
        <v>4</v>
      </c>
      <c r="X119" s="7">
        <v>5</v>
      </c>
      <c r="Y119" s="7">
        <v>64</v>
      </c>
      <c r="Z119" s="7">
        <v>23</v>
      </c>
      <c r="AA119" s="7">
        <v>2</v>
      </c>
      <c r="AB119" s="7">
        <v>58</v>
      </c>
      <c r="AC119" s="7">
        <v>50</v>
      </c>
      <c r="AD119" s="7">
        <v>2</v>
      </c>
      <c r="AE119" s="7">
        <v>17735.645414446157</v>
      </c>
      <c r="AF119" s="7">
        <v>30579</v>
      </c>
      <c r="AG119" s="7">
        <v>770</v>
      </c>
      <c r="AH119" s="7">
        <v>52</v>
      </c>
      <c r="AI119" s="7">
        <v>412</v>
      </c>
      <c r="AJ119" s="7">
        <v>145</v>
      </c>
      <c r="AK119" s="7">
        <v>740</v>
      </c>
      <c r="AL119" s="7">
        <v>339300</v>
      </c>
      <c r="AM119" s="2">
        <v>273.75</v>
      </c>
      <c r="AN119" s="2">
        <v>2040</v>
      </c>
      <c r="AO119" s="2">
        <v>6</v>
      </c>
      <c r="AP119" s="2">
        <v>4</v>
      </c>
      <c r="AQ119" s="2">
        <v>2</v>
      </c>
      <c r="AR119" s="2">
        <v>1</v>
      </c>
      <c r="AS119" s="2">
        <v>0</v>
      </c>
      <c r="AT119" s="2">
        <v>1393</v>
      </c>
      <c r="AU119" s="2">
        <v>21</v>
      </c>
      <c r="AV119" s="2">
        <v>4612</v>
      </c>
      <c r="AW119" s="1">
        <v>7</v>
      </c>
      <c r="AX119" s="1" t="s">
        <v>270</v>
      </c>
      <c r="AY119" s="2">
        <v>8</v>
      </c>
    </row>
    <row r="120" spans="1:51" x14ac:dyDescent="0.2">
      <c r="A120" s="1" t="s">
        <v>250</v>
      </c>
      <c r="B120" s="1" t="s">
        <v>249</v>
      </c>
      <c r="C120" s="1" t="s">
        <v>13</v>
      </c>
      <c r="D120" s="6">
        <v>51.603653064964888</v>
      </c>
      <c r="E120" s="8">
        <v>3</v>
      </c>
      <c r="F120" s="8">
        <v>30</v>
      </c>
      <c r="G120" s="8">
        <v>2</v>
      </c>
      <c r="H120" s="12">
        <v>7</v>
      </c>
      <c r="I120" s="12">
        <v>36</v>
      </c>
      <c r="J120" s="13">
        <v>248</v>
      </c>
      <c r="K120" s="13">
        <v>254</v>
      </c>
      <c r="L120" s="13">
        <v>92</v>
      </c>
      <c r="M120" s="13">
        <v>276</v>
      </c>
      <c r="N120" s="13">
        <v>890</v>
      </c>
      <c r="O120" s="13">
        <v>433</v>
      </c>
      <c r="P120" s="12">
        <v>1057</v>
      </c>
      <c r="Q120" s="12">
        <v>1136</v>
      </c>
      <c r="R120" s="12">
        <v>2193</v>
      </c>
      <c r="S120" s="7">
        <v>861.29682548000005</v>
      </c>
      <c r="T120" s="7">
        <v>44.56623235</v>
      </c>
      <c r="U120" s="7">
        <v>4523.5872680000002</v>
      </c>
      <c r="V120" s="7">
        <v>0</v>
      </c>
      <c r="AE120" s="7">
        <v>22190.141061946902</v>
      </c>
      <c r="AF120" s="7">
        <v>7964</v>
      </c>
      <c r="AG120" s="7">
        <v>84</v>
      </c>
      <c r="AH120" s="7">
        <v>1</v>
      </c>
      <c r="AI120" s="7">
        <v>421</v>
      </c>
      <c r="AJ120" s="7">
        <v>35</v>
      </c>
      <c r="AK120" s="7">
        <v>165</v>
      </c>
      <c r="AL120" s="7">
        <v>240</v>
      </c>
      <c r="AM120" s="2">
        <v>254.5</v>
      </c>
      <c r="AN120" s="2">
        <v>315</v>
      </c>
      <c r="AO120" s="2">
        <v>2</v>
      </c>
      <c r="AP120" s="2">
        <v>2</v>
      </c>
      <c r="AQ120" s="2">
        <v>1</v>
      </c>
      <c r="AR120" s="2">
        <v>2</v>
      </c>
      <c r="AS120" s="2">
        <v>0</v>
      </c>
      <c r="AT120" s="2">
        <v>112</v>
      </c>
      <c r="AV120" s="2">
        <v>1383</v>
      </c>
      <c r="AW120" s="1">
        <v>5</v>
      </c>
      <c r="AX120" s="1" t="s">
        <v>272</v>
      </c>
      <c r="AY120" s="2">
        <v>2</v>
      </c>
    </row>
    <row r="121" spans="1:51" x14ac:dyDescent="0.2">
      <c r="A121" s="1" t="s">
        <v>252</v>
      </c>
      <c r="B121" s="1" t="s">
        <v>251</v>
      </c>
      <c r="C121" s="1" t="s">
        <v>25</v>
      </c>
      <c r="D121" s="6">
        <v>160.14715622288165</v>
      </c>
      <c r="E121" s="8">
        <v>23</v>
      </c>
      <c r="F121" s="8">
        <v>97</v>
      </c>
      <c r="G121" s="8">
        <v>14</v>
      </c>
      <c r="H121" s="12">
        <v>21</v>
      </c>
      <c r="I121" s="12">
        <v>142</v>
      </c>
      <c r="J121" s="13">
        <v>778</v>
      </c>
      <c r="K121" s="13">
        <v>1016</v>
      </c>
      <c r="L121" s="13">
        <v>361</v>
      </c>
      <c r="M121" s="13">
        <v>860</v>
      </c>
      <c r="N121" s="13">
        <v>3201</v>
      </c>
      <c r="O121" s="13">
        <v>1827</v>
      </c>
      <c r="P121" s="12">
        <v>4164</v>
      </c>
      <c r="Q121" s="12">
        <v>3879</v>
      </c>
      <c r="R121" s="12">
        <v>8043</v>
      </c>
      <c r="S121" s="7">
        <v>13661.852929949999</v>
      </c>
      <c r="T121" s="7">
        <v>34169.583606120003</v>
      </c>
      <c r="U121" s="7">
        <v>24217.100924999999</v>
      </c>
      <c r="V121" s="7">
        <v>73.230834999999999</v>
      </c>
      <c r="AE121" s="7">
        <v>38852.763932639456</v>
      </c>
      <c r="AF121" s="7">
        <v>12781</v>
      </c>
      <c r="AG121" s="7">
        <v>1.2889999999999999</v>
      </c>
      <c r="AH121" s="7">
        <v>4</v>
      </c>
      <c r="AI121" s="7">
        <v>342</v>
      </c>
      <c r="AJ121" s="7">
        <v>285</v>
      </c>
      <c r="AK121" s="7">
        <v>3680</v>
      </c>
      <c r="AL121" s="7">
        <v>370</v>
      </c>
      <c r="AM121" s="2">
        <v>255</v>
      </c>
      <c r="AN121" s="2">
        <v>1114</v>
      </c>
      <c r="AO121" s="2">
        <v>4</v>
      </c>
      <c r="AP121" s="2">
        <v>2</v>
      </c>
      <c r="AQ121" s="2">
        <v>2</v>
      </c>
      <c r="AR121" s="2">
        <v>0</v>
      </c>
      <c r="AS121" s="2">
        <v>6</v>
      </c>
      <c r="AT121" s="2">
        <v>436</v>
      </c>
      <c r="AU121" s="2">
        <v>45</v>
      </c>
      <c r="AV121" s="2">
        <v>4972</v>
      </c>
      <c r="AW121" s="1">
        <v>10</v>
      </c>
      <c r="AX121" s="1" t="s">
        <v>272</v>
      </c>
      <c r="AY121" s="2">
        <v>4</v>
      </c>
    </row>
    <row r="122" spans="1:51" x14ac:dyDescent="0.2">
      <c r="A122" s="1" t="s">
        <v>254</v>
      </c>
      <c r="B122" s="1" t="s">
        <v>253</v>
      </c>
      <c r="C122" s="1" t="s">
        <v>46</v>
      </c>
      <c r="D122" s="6">
        <v>348.00607131719266</v>
      </c>
      <c r="E122" s="8">
        <v>126</v>
      </c>
      <c r="F122" s="8">
        <v>525</v>
      </c>
      <c r="G122" s="8">
        <v>78</v>
      </c>
      <c r="H122" s="12">
        <v>81</v>
      </c>
      <c r="I122" s="12">
        <v>386</v>
      </c>
      <c r="J122" s="13">
        <v>1906</v>
      </c>
      <c r="K122" s="13">
        <v>2251</v>
      </c>
      <c r="L122" s="13">
        <v>815</v>
      </c>
      <c r="M122" s="13">
        <v>2247</v>
      </c>
      <c r="N122" s="13">
        <v>6885</v>
      </c>
      <c r="O122" s="13">
        <v>2908</v>
      </c>
      <c r="P122" s="12">
        <v>8506</v>
      </c>
      <c r="Q122" s="12">
        <v>8506</v>
      </c>
      <c r="R122" s="12">
        <v>17012</v>
      </c>
      <c r="S122" s="7">
        <v>14156.007835780001</v>
      </c>
      <c r="T122" s="7">
        <v>32562.056244970001</v>
      </c>
      <c r="U122" s="7">
        <v>23989.658746000001</v>
      </c>
      <c r="V122" s="7">
        <v>1239.827726</v>
      </c>
      <c r="AE122" s="7">
        <v>119660.03591102388</v>
      </c>
      <c r="AF122" s="7">
        <v>23380</v>
      </c>
      <c r="AG122" s="7">
        <v>256</v>
      </c>
      <c r="AH122" s="7">
        <v>61</v>
      </c>
      <c r="AI122" s="7">
        <v>198</v>
      </c>
      <c r="AJ122" s="7">
        <v>48</v>
      </c>
      <c r="AK122" s="7">
        <v>1770</v>
      </c>
      <c r="AL122" s="7">
        <v>8000</v>
      </c>
      <c r="AM122" s="2">
        <v>264.39999999999998</v>
      </c>
      <c r="AN122" s="2">
        <v>2716</v>
      </c>
      <c r="AO122" s="2">
        <v>6</v>
      </c>
      <c r="AP122" s="2">
        <v>11</v>
      </c>
      <c r="AQ122" s="2">
        <v>2</v>
      </c>
      <c r="AR122" s="2">
        <v>1</v>
      </c>
      <c r="AS122" s="2">
        <v>0</v>
      </c>
      <c r="AT122" s="2">
        <v>2186</v>
      </c>
      <c r="AU122" s="2">
        <v>20</v>
      </c>
      <c r="AV122" s="2">
        <v>10709</v>
      </c>
      <c r="AW122" s="1">
        <v>12</v>
      </c>
      <c r="AX122" s="1" t="s">
        <v>271</v>
      </c>
      <c r="AY122" s="2">
        <v>2</v>
      </c>
    </row>
    <row r="123" spans="1:51" x14ac:dyDescent="0.2">
      <c r="A123" s="1" t="s">
        <v>256</v>
      </c>
      <c r="B123" s="1" t="s">
        <v>255</v>
      </c>
      <c r="C123" s="1" t="s">
        <v>10</v>
      </c>
      <c r="D123" s="6">
        <v>810.18382303038379</v>
      </c>
      <c r="E123" s="8">
        <v>338</v>
      </c>
      <c r="F123" s="8">
        <v>1490</v>
      </c>
      <c r="G123" s="8">
        <v>321</v>
      </c>
      <c r="H123" s="12">
        <v>598</v>
      </c>
      <c r="I123" s="12">
        <v>2206</v>
      </c>
      <c r="J123" s="13">
        <v>1646</v>
      </c>
      <c r="K123" s="13">
        <v>1943</v>
      </c>
      <c r="L123" s="13">
        <v>761</v>
      </c>
      <c r="M123" s="13">
        <v>2503</v>
      </c>
      <c r="N123" s="13">
        <v>7741</v>
      </c>
      <c r="O123" s="13">
        <v>3033</v>
      </c>
      <c r="P123" s="12">
        <v>8623</v>
      </c>
      <c r="Q123" s="12">
        <v>9004</v>
      </c>
      <c r="R123" s="12">
        <v>17627</v>
      </c>
      <c r="S123" s="7">
        <v>48108.218304300004</v>
      </c>
      <c r="T123" s="7">
        <v>118320.50428105002</v>
      </c>
      <c r="U123" s="7">
        <v>7038.5650130000004</v>
      </c>
      <c r="V123" s="7">
        <v>613.16999999999996</v>
      </c>
      <c r="W123" s="7">
        <v>6</v>
      </c>
      <c r="X123" s="7">
        <v>18</v>
      </c>
      <c r="Y123" s="7">
        <v>24</v>
      </c>
      <c r="Z123" s="7">
        <v>22</v>
      </c>
      <c r="AA123" s="7">
        <v>9</v>
      </c>
      <c r="AB123" s="7">
        <v>44</v>
      </c>
      <c r="AC123" s="7">
        <v>10</v>
      </c>
      <c r="AD123" s="7">
        <v>8</v>
      </c>
      <c r="AE123" s="7">
        <v>75464.703318659798</v>
      </c>
      <c r="AF123" s="7">
        <v>4484</v>
      </c>
      <c r="AG123" s="7">
        <v>78</v>
      </c>
      <c r="AH123" s="7">
        <v>76</v>
      </c>
      <c r="AI123" s="7">
        <v>950</v>
      </c>
      <c r="AJ123" s="7">
        <v>330</v>
      </c>
      <c r="AK123" s="7">
        <v>290</v>
      </c>
      <c r="AL123" s="7">
        <v>30400</v>
      </c>
      <c r="AM123" s="2">
        <v>285.5</v>
      </c>
      <c r="AN123" s="2">
        <v>3413</v>
      </c>
      <c r="AO123" s="2">
        <v>7</v>
      </c>
      <c r="AP123" s="2">
        <v>40</v>
      </c>
      <c r="AQ123" s="2">
        <v>2</v>
      </c>
      <c r="AR123" s="2">
        <v>7</v>
      </c>
      <c r="AS123" s="2">
        <v>16</v>
      </c>
      <c r="AT123" s="2">
        <v>6071</v>
      </c>
      <c r="AU123" s="2">
        <v>124</v>
      </c>
      <c r="AV123" s="2">
        <v>9485</v>
      </c>
      <c r="AW123" s="1">
        <v>12</v>
      </c>
      <c r="AX123" s="1" t="s">
        <v>270</v>
      </c>
      <c r="AY123" s="2">
        <v>6</v>
      </c>
    </row>
    <row r="124" spans="1:51" x14ac:dyDescent="0.2">
      <c r="A124" s="1" t="s">
        <v>258</v>
      </c>
      <c r="B124" s="1" t="s">
        <v>257</v>
      </c>
      <c r="C124" s="1" t="s">
        <v>25</v>
      </c>
      <c r="D124" s="6">
        <v>61.324804192744324</v>
      </c>
      <c r="E124" s="8">
        <v>8</v>
      </c>
      <c r="F124" s="8">
        <v>36</v>
      </c>
      <c r="G124" s="8">
        <v>2</v>
      </c>
      <c r="H124" s="12">
        <v>9</v>
      </c>
      <c r="I124" s="12">
        <v>35</v>
      </c>
      <c r="J124" s="13">
        <v>243</v>
      </c>
      <c r="K124" s="13">
        <v>372</v>
      </c>
      <c r="L124" s="13">
        <v>148</v>
      </c>
      <c r="M124" s="13">
        <v>333</v>
      </c>
      <c r="N124" s="13">
        <v>1158</v>
      </c>
      <c r="O124" s="13">
        <v>752</v>
      </c>
      <c r="P124" s="12">
        <v>1542</v>
      </c>
      <c r="Q124" s="12">
        <v>1464</v>
      </c>
      <c r="R124" s="12">
        <v>3006</v>
      </c>
      <c r="S124" s="7">
        <v>61.153343939999999</v>
      </c>
      <c r="T124" s="7">
        <v>114.97188270999999</v>
      </c>
      <c r="U124" s="7">
        <v>3765.2256870000001</v>
      </c>
      <c r="V124" s="7">
        <v>131.254041</v>
      </c>
      <c r="AE124" s="7">
        <v>16408.38275859338</v>
      </c>
      <c r="AF124" s="7">
        <v>7120</v>
      </c>
      <c r="AG124" s="7">
        <v>25</v>
      </c>
      <c r="AH124" s="7">
        <v>7</v>
      </c>
      <c r="AI124" s="7">
        <v>84</v>
      </c>
      <c r="AJ124" s="7">
        <v>20</v>
      </c>
      <c r="AK124" s="7">
        <v>1300</v>
      </c>
      <c r="AL124" s="7">
        <v>240</v>
      </c>
      <c r="AM124" s="2">
        <v>259</v>
      </c>
      <c r="AN124" s="2">
        <v>316</v>
      </c>
      <c r="AO124" s="2">
        <v>1</v>
      </c>
      <c r="AP124" s="2">
        <v>1</v>
      </c>
      <c r="AQ124" s="2">
        <v>1</v>
      </c>
      <c r="AR124" s="2">
        <v>1</v>
      </c>
      <c r="AS124" s="2">
        <v>0</v>
      </c>
      <c r="AT124" s="2">
        <v>139</v>
      </c>
      <c r="AV124" s="2">
        <v>1940</v>
      </c>
      <c r="AW124" s="1">
        <v>6</v>
      </c>
      <c r="AX124" s="1" t="s">
        <v>272</v>
      </c>
      <c r="AY124" s="2">
        <v>3</v>
      </c>
    </row>
    <row r="125" spans="1:51" x14ac:dyDescent="0.2">
      <c r="A125" s="1" t="s">
        <v>313</v>
      </c>
      <c r="B125" s="1" t="s">
        <v>314</v>
      </c>
      <c r="C125" s="1" t="s">
        <v>16</v>
      </c>
      <c r="D125" s="6">
        <v>93.276659987546395</v>
      </c>
      <c r="E125" s="8">
        <v>20</v>
      </c>
      <c r="F125" s="8">
        <v>150</v>
      </c>
      <c r="G125" s="8">
        <v>32</v>
      </c>
      <c r="H125" s="12">
        <v>13</v>
      </c>
      <c r="I125" s="12">
        <v>58</v>
      </c>
      <c r="J125" s="13">
        <v>439</v>
      </c>
      <c r="K125" s="13">
        <v>606</v>
      </c>
      <c r="L125" s="13">
        <v>226</v>
      </c>
      <c r="M125" s="13">
        <v>535</v>
      </c>
      <c r="N125" s="13">
        <v>1940</v>
      </c>
      <c r="O125" s="13">
        <v>1208</v>
      </c>
      <c r="P125" s="12">
        <v>2521</v>
      </c>
      <c r="Q125" s="12">
        <v>2433</v>
      </c>
      <c r="R125" s="12">
        <v>4954</v>
      </c>
      <c r="S125" s="7">
        <v>102216.37340839001</v>
      </c>
      <c r="T125" s="7">
        <v>20541.168027539999</v>
      </c>
      <c r="U125" s="7">
        <v>6241.8758779999998</v>
      </c>
      <c r="V125" s="7">
        <v>31.278383999999999</v>
      </c>
      <c r="AE125" s="7">
        <v>7335.07</v>
      </c>
      <c r="AF125" s="7">
        <v>9593</v>
      </c>
      <c r="AG125" s="7">
        <v>418</v>
      </c>
      <c r="AI125" s="7">
        <v>110</v>
      </c>
      <c r="AJ125" s="7">
        <v>43</v>
      </c>
      <c r="AK125" s="7">
        <v>29</v>
      </c>
      <c r="AL125" s="7">
        <v>550</v>
      </c>
      <c r="AM125" s="2">
        <v>225.5</v>
      </c>
      <c r="AN125" s="2">
        <v>802</v>
      </c>
      <c r="AO125" s="2">
        <v>2</v>
      </c>
      <c r="AP125" s="2">
        <v>2</v>
      </c>
      <c r="AQ125" s="2">
        <v>1</v>
      </c>
      <c r="AR125" s="2">
        <v>2</v>
      </c>
      <c r="AS125" s="2">
        <v>0</v>
      </c>
      <c r="AT125" s="2">
        <v>385</v>
      </c>
      <c r="AU125" s="2">
        <v>31</v>
      </c>
      <c r="AV125" s="2">
        <v>3560</v>
      </c>
      <c r="AW125" s="1">
        <v>4</v>
      </c>
      <c r="AX125" s="1" t="s">
        <v>272</v>
      </c>
      <c r="AY125" s="2">
        <v>3</v>
      </c>
    </row>
    <row r="126" spans="1:51" x14ac:dyDescent="0.2">
      <c r="A126" s="1" t="s">
        <v>316</v>
      </c>
      <c r="B126" s="1" t="s">
        <v>315</v>
      </c>
      <c r="C126" s="1" t="s">
        <v>315</v>
      </c>
      <c r="D126" s="7">
        <v>39049.173500554636</v>
      </c>
      <c r="E126" s="7">
        <v>10572</v>
      </c>
      <c r="F126" s="7">
        <v>50660</v>
      </c>
      <c r="G126" s="7">
        <v>8204</v>
      </c>
      <c r="H126" s="12">
        <v>17142</v>
      </c>
      <c r="I126" s="12">
        <v>164450</v>
      </c>
      <c r="J126" s="12">
        <v>164450</v>
      </c>
      <c r="K126" s="12">
        <v>164450</v>
      </c>
      <c r="L126" s="12">
        <v>164450</v>
      </c>
      <c r="M126" s="12">
        <v>164450</v>
      </c>
      <c r="N126" s="12">
        <v>164450</v>
      </c>
      <c r="O126" s="12">
        <v>164450</v>
      </c>
      <c r="P126" s="12">
        <v>647741</v>
      </c>
      <c r="Q126" s="12">
        <v>664242</v>
      </c>
      <c r="R126" s="12">
        <v>1311983</v>
      </c>
      <c r="S126" s="7">
        <v>7702721.5970428698</v>
      </c>
      <c r="T126" s="7">
        <v>7435045.1465498488</v>
      </c>
      <c r="U126" s="7">
        <v>917815.9043480003</v>
      </c>
      <c r="V126" s="7">
        <v>41624.833913999981</v>
      </c>
      <c r="AE126" s="7">
        <v>3833831.5691664969</v>
      </c>
      <c r="AF126" s="7">
        <v>1236896</v>
      </c>
      <c r="AG126" s="7">
        <v>29224.335000000003</v>
      </c>
      <c r="AH126" s="7">
        <v>6037</v>
      </c>
      <c r="AI126" s="7">
        <v>111753</v>
      </c>
      <c r="AJ126" s="7">
        <v>51665</v>
      </c>
      <c r="AK126" s="7">
        <v>135757</v>
      </c>
      <c r="AL126" s="7">
        <v>4336010</v>
      </c>
      <c r="AM126" s="3">
        <v>276</v>
      </c>
      <c r="AN126" s="3">
        <v>217728</v>
      </c>
      <c r="AO126" s="3">
        <v>609</v>
      </c>
      <c r="AP126" s="3">
        <v>1860</v>
      </c>
      <c r="AQ126" s="3">
        <v>288</v>
      </c>
      <c r="AR126" s="3">
        <v>505</v>
      </c>
      <c r="AS126" s="3">
        <v>1939</v>
      </c>
      <c r="AT126" s="3">
        <v>482342</v>
      </c>
      <c r="AU126" s="3">
        <v>31261</v>
      </c>
      <c r="AV126" s="3">
        <v>686630</v>
      </c>
      <c r="AW126" s="3">
        <v>666</v>
      </c>
      <c r="AX126" s="3"/>
      <c r="AY126" s="3">
        <v>563</v>
      </c>
    </row>
  </sheetData>
  <mergeCells count="9">
    <mergeCell ref="AW1:AX1"/>
    <mergeCell ref="W1:AD1"/>
    <mergeCell ref="AE1:AL1"/>
    <mergeCell ref="J1:R1"/>
    <mergeCell ref="H1:I1"/>
    <mergeCell ref="AN1:AO1"/>
    <mergeCell ref="S1:V1"/>
    <mergeCell ref="AP1:AS1"/>
    <mergeCell ref="AT1:AV1"/>
  </mergeCells>
  <phoneticPr fontId="9" type="noConversion"/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BA661E-3DA0-4463-901D-546C039E6E2C}">
  <sheetPr>
    <tabColor rgb="FFFFC000"/>
  </sheetPr>
  <dimension ref="A1:P42"/>
  <sheetViews>
    <sheetView tabSelected="1" zoomScale="110" zoomScaleNormal="110" workbookViewId="0">
      <selection activeCell="B2" sqref="B2"/>
    </sheetView>
  </sheetViews>
  <sheetFormatPr baseColWidth="10" defaultRowHeight="15" x14ac:dyDescent="0.25"/>
  <cols>
    <col min="1" max="1" width="13.5703125" style="38" customWidth="1"/>
    <col min="2" max="2" width="25.7109375" style="39" customWidth="1"/>
    <col min="3" max="3" width="23.85546875" style="39" customWidth="1"/>
    <col min="4" max="4" width="16.85546875" style="39" customWidth="1"/>
    <col min="5" max="5" width="6.85546875" style="38" customWidth="1"/>
    <col min="6" max="6" width="11.42578125" style="38" customWidth="1"/>
    <col min="7" max="7" width="7.7109375" style="38" customWidth="1"/>
    <col min="8" max="8" width="8.28515625" style="38" customWidth="1"/>
    <col min="9" max="9" width="8.5703125" style="38" customWidth="1"/>
    <col min="10" max="10" width="11.42578125" style="38"/>
    <col min="11" max="11" width="7.85546875" style="38" customWidth="1"/>
    <col min="12" max="12" width="8" style="38" customWidth="1"/>
    <col min="13" max="13" width="10.28515625" style="38" customWidth="1"/>
    <col min="14" max="16384" width="11.42578125" style="38"/>
  </cols>
  <sheetData>
    <row r="1" spans="1:16" ht="21" x14ac:dyDescent="0.35">
      <c r="A1" s="155" t="s">
        <v>319</v>
      </c>
      <c r="B1" s="155"/>
      <c r="C1" s="155"/>
      <c r="D1" s="155"/>
      <c r="E1" s="155"/>
      <c r="F1" s="156" t="s">
        <v>327</v>
      </c>
      <c r="G1" s="156"/>
      <c r="H1" s="156"/>
      <c r="I1" s="156"/>
      <c r="J1" s="156"/>
      <c r="K1" s="156"/>
      <c r="L1" s="156"/>
      <c r="M1" s="156"/>
    </row>
    <row r="2" spans="1:16" x14ac:dyDescent="0.25">
      <c r="A2" s="93" t="s">
        <v>320</v>
      </c>
      <c r="B2" s="94" t="s">
        <v>205</v>
      </c>
      <c r="C2" s="95" t="str" cm="1">
        <f t="array" ref="C2">"provincia "&amp;_xlfn.XLOOKUP(B2,Tabla1[[#All],[Municipio ]],Tabla1[[#All],[Provincia]],"No aplica")</f>
        <v>provincia Sugamuxi</v>
      </c>
      <c r="D2" s="93" t="s">
        <v>322</v>
      </c>
      <c r="F2" s="157" t="str">
        <f>+B2</f>
        <v>Sogamoso</v>
      </c>
      <c r="G2" s="157"/>
      <c r="H2" s="157"/>
      <c r="I2" s="99"/>
      <c r="J2" s="157" t="str">
        <f>+B3</f>
        <v>Samacá</v>
      </c>
      <c r="K2" s="157"/>
      <c r="L2" s="157"/>
      <c r="M2" s="157"/>
    </row>
    <row r="3" spans="1:16" ht="15" customHeight="1" x14ac:dyDescent="0.25">
      <c r="A3" s="93" t="s">
        <v>320</v>
      </c>
      <c r="B3" s="96" t="s">
        <v>171</v>
      </c>
      <c r="C3" s="97" t="str" cm="1">
        <f t="array" ref="C3">"provincia "&amp;_xlfn.XLOOKUP(B3,Tabla1[[#All],[Municipio ]],Tabla1[[#All],[Provincia]],"No aplica")</f>
        <v>provincia Centro</v>
      </c>
      <c r="D3" s="98"/>
      <c r="F3" s="157"/>
      <c r="G3" s="157"/>
      <c r="H3" s="157"/>
      <c r="I3" s="99"/>
      <c r="J3" s="157"/>
      <c r="K3" s="157"/>
      <c r="L3" s="157"/>
      <c r="M3" s="157"/>
      <c r="N3" s="40"/>
      <c r="O3" s="40"/>
      <c r="P3" s="40"/>
    </row>
    <row r="4" spans="1:16" ht="15" customHeight="1" x14ac:dyDescent="0.25">
      <c r="A4" s="76"/>
      <c r="F4" s="76"/>
      <c r="G4" s="39"/>
      <c r="H4" s="39"/>
      <c r="I4" s="39"/>
      <c r="J4" s="40"/>
      <c r="K4" s="40"/>
      <c r="L4" s="40"/>
    </row>
    <row r="5" spans="1:16" ht="15" customHeight="1" x14ac:dyDescent="0.25">
      <c r="A5" s="88" t="s">
        <v>317</v>
      </c>
      <c r="B5" s="88" t="str">
        <f>+B2</f>
        <v>Sogamoso</v>
      </c>
      <c r="C5" s="88" t="str">
        <f>+B3</f>
        <v>Samacá</v>
      </c>
      <c r="F5" s="88" t="s">
        <v>317</v>
      </c>
      <c r="G5" s="88" t="str">
        <f>+B2</f>
        <v>Sogamoso</v>
      </c>
      <c r="H5" s="88" t="str">
        <f>+B3</f>
        <v>Samacá</v>
      </c>
      <c r="I5" s="39"/>
      <c r="J5" s="40"/>
      <c r="K5" s="40"/>
      <c r="L5" s="40"/>
    </row>
    <row r="6" spans="1:16" ht="15" customHeight="1" x14ac:dyDescent="0.25">
      <c r="A6" s="39" t="s">
        <v>317</v>
      </c>
      <c r="B6" s="89" cm="1">
        <f t="array" ref="B6">_xlfn.XLOOKUP($B$2,Tabla1[[#All],[Municipio ]],Tabla1[[#All],[VA_2024]],"No aplica")</f>
        <v>4123.7196788743558</v>
      </c>
      <c r="C6" s="89" cm="1">
        <f t="array" ref="C6">_xlfn.XLOOKUP($B$3,Tabla1[[#All],[Municipio ]],Tabla1[[#All],[VA_2024]],"No aplica")</f>
        <v>584.32413763084139</v>
      </c>
      <c r="F6" s="39" t="s">
        <v>323</v>
      </c>
      <c r="G6" s="89" cm="1">
        <f t="array" ref="G6">_xlfn.XLOOKUP($B$2,Tabla1[[#All],[Municipio ]],Tabla1[[#All],[Mat_2024]],"No aplica")</f>
        <v>1350</v>
      </c>
      <c r="H6" s="89" cm="1">
        <f t="array" ref="H6">_xlfn.XLOOKUP($B$3,Tabla1[[#All],[Municipio ]],Tabla1[[#All],[Mat_2024]],"No aplica")</f>
        <v>209</v>
      </c>
      <c r="I6" s="39"/>
    </row>
    <row r="7" spans="1:16" ht="15" customHeight="1" x14ac:dyDescent="0.25">
      <c r="A7" s="39" t="s">
        <v>1</v>
      </c>
      <c r="B7" s="89" cm="1">
        <f t="array" ref="B7">SUMIF(Tabla1[[#All],[Provincia]],_xlfn.XLOOKUP(B2,Tabla1[[#All],[Municipio ]],Tabla1[[#All],[Provincia]],"No aplica"),Tabla1[[#All],[VA_2024]])</f>
        <v>8808.6496213935043</v>
      </c>
      <c r="C7" s="89" cm="1">
        <f t="array" ref="C7">SUMIF(Tabla1[[#All],[Provincia]],_xlfn.XLOOKUP(B3,Tabla1[[#All],[Municipio ]],Tabla1[[#All],[Provincia]],"No aplica"),Tabla1[[#All],[VA_2024]])</f>
        <v>8644.9689293144038</v>
      </c>
      <c r="F7" s="39" t="s">
        <v>324</v>
      </c>
      <c r="G7" s="89" cm="1">
        <f t="array" ref="G7">_xlfn.XLOOKUP($B$2,Tabla1[[#All],[Municipio ]],Tabla1[[#All],[Ren_2024]],"No aplica")</f>
        <v>6793</v>
      </c>
      <c r="H7" s="89" cm="1">
        <f t="array" ref="H7">_xlfn.XLOOKUP($B$3,Tabla1[[#All],[Municipio ]],Tabla1[[#All],[Ren_2024]],"No aplica")</f>
        <v>1064</v>
      </c>
      <c r="I7" s="39"/>
    </row>
    <row r="8" spans="1:16" ht="15" customHeight="1" x14ac:dyDescent="0.25">
      <c r="A8" s="39" t="s">
        <v>315</v>
      </c>
      <c r="B8" s="89" cm="1">
        <f t="array" ref="B8">_xlfn.XLOOKUP($A$8,Tabla1[[#All],[Municipio ]],Tabla1[[#All],[VA_2024]],"No aplica")</f>
        <v>39049.173500554636</v>
      </c>
      <c r="C8" s="89">
        <f>+B8</f>
        <v>39049.173500554636</v>
      </c>
      <c r="F8" s="39" t="s">
        <v>325</v>
      </c>
      <c r="G8" s="89" cm="1">
        <f t="array" ref="G8">_xlfn.XLOOKUP($B$2,Tabla1[[#All],[Municipio ]],Tabla1[[#All],[Can_2024]],"No aplica")</f>
        <v>348</v>
      </c>
      <c r="H8" s="89" cm="1">
        <f t="array" ref="H8">_xlfn.XLOOKUP($B$3,Tabla1[[#All],[Municipio ]],Tabla1[[#All],[Can_2024]],"No aplica")</f>
        <v>181</v>
      </c>
      <c r="I8" s="39"/>
    </row>
    <row r="9" spans="1:16" ht="15" customHeight="1" x14ac:dyDescent="0.25">
      <c r="A9" s="39" t="s">
        <v>318</v>
      </c>
      <c r="B9" s="90">
        <f>+B6/B7</f>
        <v>0.46814436447320001</v>
      </c>
      <c r="C9" s="90">
        <f>+C6/C7</f>
        <v>6.7591236291138612E-2</v>
      </c>
      <c r="F9" s="39"/>
      <c r="G9" s="90"/>
      <c r="H9" s="90"/>
      <c r="I9" s="39"/>
    </row>
    <row r="10" spans="1:16" ht="15" customHeight="1" x14ac:dyDescent="0.25">
      <c r="A10" s="88" t="s">
        <v>321</v>
      </c>
      <c r="B10" s="91" t="str" cm="1">
        <f t="array" ref="B10">_xlfn.XLOOKUP(B2,Tabla1[[#All],[Municipio ]],Tabla1[[#All],[Provincia]],"No aplica")</f>
        <v>Sugamuxi</v>
      </c>
      <c r="C10" s="91" t="str" cm="1">
        <f t="array" ref="C10">_xlfn.XLOOKUP(B3,Tabla1[[#All],[Municipio ]],Tabla1[[#All],[Provincia]],"No aplica")</f>
        <v>Centro</v>
      </c>
      <c r="F10" s="88"/>
      <c r="G10" s="91"/>
      <c r="H10" s="91"/>
      <c r="I10" s="39"/>
    </row>
    <row r="11" spans="1:16" ht="15" customHeight="1" x14ac:dyDescent="0.25">
      <c r="A11" s="39" t="str">
        <f t="shared" ref="A11:C13" si="0">+A7</f>
        <v>Provincia</v>
      </c>
      <c r="B11" s="89">
        <f t="shared" si="0"/>
        <v>8808.6496213935043</v>
      </c>
      <c r="C11" s="89">
        <f t="shared" si="0"/>
        <v>8644.9689293144038</v>
      </c>
      <c r="F11" s="39"/>
      <c r="G11" s="89"/>
      <c r="H11" s="89"/>
      <c r="I11" s="39"/>
    </row>
    <row r="12" spans="1:16" ht="15" customHeight="1" x14ac:dyDescent="0.25">
      <c r="A12" s="39" t="str">
        <f t="shared" si="0"/>
        <v>Departamento</v>
      </c>
      <c r="B12" s="89">
        <f t="shared" si="0"/>
        <v>39049.173500554636</v>
      </c>
      <c r="C12" s="89">
        <f t="shared" si="0"/>
        <v>39049.173500554636</v>
      </c>
      <c r="D12" s="38"/>
      <c r="F12" s="39"/>
      <c r="G12" s="89"/>
      <c r="H12" s="89"/>
    </row>
    <row r="13" spans="1:16" ht="15" customHeight="1" x14ac:dyDescent="0.25">
      <c r="A13" s="39" t="str">
        <f t="shared" si="0"/>
        <v>Participación</v>
      </c>
      <c r="B13" s="90">
        <f t="shared" si="0"/>
        <v>0.46814436447320001</v>
      </c>
      <c r="C13" s="90">
        <f t="shared" si="0"/>
        <v>6.7591236291138612E-2</v>
      </c>
      <c r="D13" s="38"/>
      <c r="F13" s="39"/>
      <c r="G13" s="90"/>
      <c r="H13" s="90"/>
    </row>
    <row r="14" spans="1:16" ht="21" x14ac:dyDescent="0.35">
      <c r="B14" s="38"/>
      <c r="C14" s="38"/>
      <c r="D14" s="38"/>
      <c r="F14" s="154"/>
      <c r="G14" s="154"/>
      <c r="H14" s="154"/>
      <c r="I14" s="154"/>
      <c r="J14" s="154"/>
      <c r="K14" s="154"/>
      <c r="L14" s="154"/>
      <c r="M14" s="154"/>
    </row>
    <row r="15" spans="1:16" x14ac:dyDescent="0.25">
      <c r="B15" s="38"/>
      <c r="C15" s="38"/>
      <c r="D15" s="38"/>
      <c r="F15" s="38" t="s">
        <v>317</v>
      </c>
      <c r="G15" s="92" t="s">
        <v>326</v>
      </c>
      <c r="H15" s="92" t="s">
        <v>293</v>
      </c>
      <c r="I15" s="92" t="s">
        <v>294</v>
      </c>
      <c r="J15" s="92" t="s">
        <v>296</v>
      </c>
      <c r="K15" s="92" t="s">
        <v>297</v>
      </c>
      <c r="L15" s="92" t="s">
        <v>298</v>
      </c>
      <c r="M15" s="92" t="s">
        <v>299</v>
      </c>
    </row>
    <row r="16" spans="1:16" x14ac:dyDescent="0.25">
      <c r="B16" s="38"/>
      <c r="C16" s="38"/>
      <c r="D16" s="38"/>
      <c r="F16" s="38" t="str">
        <f>+B2</f>
        <v>Sogamoso</v>
      </c>
      <c r="G16" s="89" cm="1">
        <f t="array" ref="G16">_xlfn.XLOOKUP($B$2,Tabla1[[#All],[Municipio ]],Tabla1[[#All],[Prod(ton)_2023]],"No aplica")</f>
        <v>13198.889611633726</v>
      </c>
      <c r="H16" s="89" cm="1">
        <f t="array" ref="H16">_xlfn.XLOOKUP($B$2,Tabla1[[#All],[Municipio ]],Tabla1[[#All],[Bovino_2024]],"No aplica")</f>
        <v>12543</v>
      </c>
      <c r="I16" s="89" cm="1">
        <f t="array" ref="I16">_xlfn.XLOOKUP($B$2,Tabla1[[#All],[Municipio ]],Tabla1[[#All],[Porcino_2021]],"No aplica")</f>
        <v>913</v>
      </c>
      <c r="J16" s="89" cm="1">
        <f t="array" ref="J16">_xlfn.XLOOKUP($B$2,Tabla1[[#All],[Municipio ]],Tabla1[[#All],[Equino_2021]],"No aplica")</f>
        <v>520</v>
      </c>
      <c r="K16" s="89" cm="1">
        <f t="array" ref="K16">_xlfn.XLOOKUP($B$2,Tabla1[[#All],[Municipio ]],Tabla1[[#All],[Caprino_2021]],"No aplica")</f>
        <v>590</v>
      </c>
      <c r="L16" s="89" cm="1">
        <f t="array" ref="L16">_xlfn.XLOOKUP($B$2,Tabla1[[#All],[Municipio ]],Tabla1[[#All],[Ovino_2021]],"No aplica")</f>
        <v>2030</v>
      </c>
      <c r="M16" s="89" cm="1">
        <f t="array" ref="M16">_xlfn.XLOOKUP($B$2,Tabla1[[#All],[Municipio ]],Tabla1[[#All],[Aves_2022]],"No aplica")</f>
        <v>15250</v>
      </c>
    </row>
    <row r="17" spans="1:13" x14ac:dyDescent="0.25">
      <c r="B17" s="38"/>
      <c r="C17" s="38"/>
      <c r="F17" s="38" t="str">
        <f>+B3</f>
        <v>Samacá</v>
      </c>
      <c r="G17" s="89" cm="1">
        <f t="array" ref="G17">_xlfn.XLOOKUP($B$3,Tabla1[[#All],[Municipio ]],Tabla1[[#All],[Prod(ton)_2023]],"No aplica")</f>
        <v>54666.724677017904</v>
      </c>
      <c r="H17" s="89" cm="1">
        <f t="array" ref="H17">_xlfn.XLOOKUP($B$3,Tabla1[[#All],[Municipio ]],Tabla1[[#All],[Bovino_2024]],"No aplica")</f>
        <v>6778</v>
      </c>
      <c r="I17" s="89" cm="1">
        <f t="array" ref="I17">_xlfn.XLOOKUP($B$3,Tabla1[[#All],[Municipio ]],Tabla1[[#All],[Porcino_2021]],"No aplica")</f>
        <v>531</v>
      </c>
      <c r="J17" s="89" cm="1">
        <f t="array" ref="J17">_xlfn.XLOOKUP($B$3,Tabla1[[#All],[Municipio ]],Tabla1[[#All],[Equino_2021]],"No aplica")</f>
        <v>604</v>
      </c>
      <c r="K17" s="89" cm="1">
        <f t="array" ref="K17">_xlfn.XLOOKUP($B$3,Tabla1[[#All],[Municipio ]],Tabla1[[#All],[Caprino_2021]],"No aplica")</f>
        <v>36</v>
      </c>
      <c r="L17" s="89" cm="1">
        <f t="array" ref="L17">_xlfn.XLOOKUP($B$3,Tabla1[[#All],[Municipio ]],Tabla1[[#All],[Ovino_2021]],"No aplica")</f>
        <v>267</v>
      </c>
      <c r="M17" s="89" cm="1">
        <f t="array" ref="M17">_xlfn.XLOOKUP($B$3,Tabla1[[#All],[Municipio ]],Tabla1[[#All],[Aves_2022]],"No aplica")</f>
        <v>350</v>
      </c>
    </row>
    <row r="18" spans="1:13" x14ac:dyDescent="0.25">
      <c r="B18" s="38"/>
      <c r="C18" s="38"/>
    </row>
    <row r="19" spans="1:13" x14ac:dyDescent="0.25">
      <c r="B19" s="38"/>
      <c r="C19" s="38"/>
    </row>
    <row r="20" spans="1:13" x14ac:dyDescent="0.25">
      <c r="B20" s="38"/>
      <c r="C20" s="38"/>
    </row>
    <row r="29" spans="1:13" ht="21" x14ac:dyDescent="0.35">
      <c r="A29" s="154" t="s">
        <v>328</v>
      </c>
      <c r="B29" s="154"/>
      <c r="C29" s="154"/>
      <c r="D29" s="154"/>
      <c r="E29" s="154"/>
    </row>
    <row r="30" spans="1:13" x14ac:dyDescent="0.25">
      <c r="B30" s="39" t="s">
        <v>329</v>
      </c>
      <c r="C30" s="39" t="s">
        <v>330</v>
      </c>
      <c r="D30" s="39" t="s">
        <v>331</v>
      </c>
      <c r="E30" s="38" t="s">
        <v>332</v>
      </c>
    </row>
    <row r="31" spans="1:13" x14ac:dyDescent="0.25">
      <c r="A31" s="38" t="str">
        <f>+B2</f>
        <v>Sogamoso</v>
      </c>
      <c r="B31" s="89" cm="1">
        <f t="array" ref="B31">_xlfn.XLOOKUP(B2,Tabla1[[#All],[Municipio ]],Tabla1[[#All],[Fin_Captaciones]],"No aplica")</f>
        <v>509301.88407763996</v>
      </c>
      <c r="C31" s="89" cm="1">
        <f t="array" ref="C31">_xlfn.XLOOKUP(B2,Tabla1[[#All],[Municipio ]],Tabla1[[#All],[Fin_Colocaciones]],"No aplica")</f>
        <v>1082275.0297785301</v>
      </c>
      <c r="D31" s="89" cm="1">
        <f t="array" ref="D31">_xlfn.XLOOKUP(B2,Tabla1[[#All],[Municipio ]],Tabla1[[#All],[Fin_FINAGRO]],"No aplica")</f>
        <v>35422.725754999999</v>
      </c>
      <c r="E31" s="89" cm="1">
        <f t="array" ref="E31">_xlfn.XLOOKUP(B2,Tabla1[[#All],[Municipio ]],Tabla1[[#All],[Fin_BANCOLDEX]],"No aplica")</f>
        <v>3873.2671959999998</v>
      </c>
    </row>
    <row r="32" spans="1:13" x14ac:dyDescent="0.25">
      <c r="A32" s="38" t="str">
        <f>+B3</f>
        <v>Samacá</v>
      </c>
      <c r="B32" s="89" cm="1">
        <f t="array" ref="B32">_xlfn.XLOOKUP(B3,Tabla1[[#All],[Municipio ]],Tabla1[[#All],[Fin_Captaciones]],"No aplica")</f>
        <v>45710.270617779999</v>
      </c>
      <c r="C32" s="89" cm="1">
        <f t="array" ref="C32">_xlfn.XLOOKUP(B3,Tabla1[[#All],[Municipio ]],Tabla1[[#All],[Fin_Colocaciones]],"No aplica")</f>
        <v>164586.94013042998</v>
      </c>
      <c r="D32" s="89" cm="1">
        <f t="array" ref="D32">_xlfn.XLOOKUP(B3,Tabla1[[#All],[Municipio ]],Tabla1[[#All],[Fin_FINAGRO]],"No aplica")</f>
        <v>23088.591084</v>
      </c>
      <c r="E32" s="89" cm="1">
        <f t="array" ref="E32">_xlfn.XLOOKUP(B3,Tabla1[[#All],[Municipio ]],Tabla1[[#All],[Fin_BANCOLDEX]],"No aplica")</f>
        <v>864.31530399999997</v>
      </c>
    </row>
    <row r="34" spans="7:9" x14ac:dyDescent="0.25">
      <c r="G34" s="38" t="s">
        <v>333</v>
      </c>
      <c r="H34" s="38" t="str">
        <f>+B2</f>
        <v>Sogamoso</v>
      </c>
      <c r="I34" s="38" t="str">
        <f>+B3</f>
        <v>Samacá</v>
      </c>
    </row>
    <row r="35" spans="7:9" x14ac:dyDescent="0.25">
      <c r="G35" s="38" t="s">
        <v>335</v>
      </c>
      <c r="H35" s="89" cm="1">
        <f t="array" ref="H35">_xlfn.XLOOKUP($B$2,Tabla1[[#All],[Municipio ]],Tabla1[[#All],[ICM]],"No aplica")</f>
        <v>5</v>
      </c>
      <c r="I35" s="89" cm="1">
        <f t="array" ref="I35">_xlfn.XLOOKUP($B$3,Tabla1[[#All],[Municipio ]],Tabla1[[#All],[ICM]],"No aplica")</f>
        <v>15</v>
      </c>
    </row>
    <row r="36" spans="7:9" x14ac:dyDescent="0.25">
      <c r="G36" s="38" t="s">
        <v>336</v>
      </c>
      <c r="H36" s="89" cm="1">
        <f t="array" ref="H36">_xlfn.XLOOKUP($B$2,Tabla1[[#All],[Municipio ]],Tabla1[[#All],[Insti]],"No aplica")</f>
        <v>17</v>
      </c>
      <c r="I36" s="89" cm="1">
        <f t="array" ref="I36">_xlfn.XLOOKUP($B$3,Tabla1[[#All],[Municipio ]],Tabla1[[#All],[Insti]],"No aplica")</f>
        <v>8</v>
      </c>
    </row>
    <row r="37" spans="7:9" x14ac:dyDescent="0.25">
      <c r="G37" s="38" t="s">
        <v>337</v>
      </c>
      <c r="H37" s="89" cm="1">
        <f t="array" ref="H37">_xlfn.XLOOKUP($B$2,Tabla1[[#All],[Municipio ]],Tabla1[[#All],[Infra]],"No aplica")</f>
        <v>7</v>
      </c>
      <c r="I37" s="89" cm="1">
        <f t="array" ref="I37">_xlfn.XLOOKUP($B$3,Tabla1[[#All],[Municipio ]],Tabla1[[#All],[Infra]],"No aplica")</f>
        <v>65</v>
      </c>
    </row>
    <row r="38" spans="7:9" x14ac:dyDescent="0.25">
      <c r="G38" s="38" t="s">
        <v>347</v>
      </c>
      <c r="H38" s="89" cm="1">
        <f t="array" ref="H38">_xlfn.XLOOKUP($B$2,Tabla1[[#All],[Municipio ]],Tabla1[[#All],[Sosten]],"No aplica")</f>
        <v>30</v>
      </c>
      <c r="I38" s="89" cm="1">
        <f t="array" ref="I38">_xlfn.XLOOKUP($B$3,Tabla1[[#All],[Municipio ]],Tabla1[[#All],[Sosten]],"No aplica")</f>
        <v>43</v>
      </c>
    </row>
    <row r="39" spans="7:9" x14ac:dyDescent="0.25">
      <c r="G39" s="38" t="s">
        <v>338</v>
      </c>
      <c r="H39" s="89" cm="1">
        <f t="array" ref="H39">_xlfn.XLOOKUP($B$2,Tabla1[[#All],[Municipio ]],Tabla1[[#All],[Educa]],"No aplica")</f>
        <v>3</v>
      </c>
      <c r="I39" s="89" cm="1">
        <f t="array" ref="I39">_xlfn.XLOOKUP($B$3,Tabla1[[#All],[Municipio ]],Tabla1[[#All],[Educa]],"No aplica")</f>
        <v>15</v>
      </c>
    </row>
    <row r="40" spans="7:9" x14ac:dyDescent="0.25">
      <c r="G40" s="38" t="s">
        <v>268</v>
      </c>
      <c r="H40" s="89" cm="1">
        <f t="array" ref="H40">_xlfn.XLOOKUP($B$2,Tabla1[[#All],[Municipio ]],Tabla1[[#All],[Salud]],"No aplica")</f>
        <v>28</v>
      </c>
      <c r="I40" s="89" cm="1">
        <f t="array" ref="I40">_xlfn.XLOOKUP($B$3,Tabla1[[#All],[Municipio ]],Tabla1[[#All],[Salud]],"No aplica")</f>
        <v>18</v>
      </c>
    </row>
    <row r="41" spans="7:9" x14ac:dyDescent="0.25">
      <c r="G41" s="38" t="s">
        <v>339</v>
      </c>
      <c r="H41" s="89" cm="1">
        <f t="array" ref="H41">_xlfn.XLOOKUP($B$2,Tabla1[[#All],[Municipio ]],Tabla1[[#All],[SisFin]],"No aplica")</f>
        <v>8</v>
      </c>
      <c r="I41" s="89" cm="1">
        <f t="array" ref="I41">_xlfn.XLOOKUP($B$3,Tabla1[[#All],[Municipio ]],Tabla1[[#All],[SisFin]],"No aplica")</f>
        <v>14</v>
      </c>
    </row>
    <row r="42" spans="7:9" x14ac:dyDescent="0.25">
      <c r="G42" s="38" t="s">
        <v>340</v>
      </c>
      <c r="H42" s="89" cm="1">
        <f t="array" ref="H42">_xlfn.XLOOKUP($B$2,Tabla1[[#All],[Municipio ]],Tabla1[[#All],[Prod]],"No aplica")</f>
        <v>20</v>
      </c>
      <c r="I42" s="89" cm="1">
        <f t="array" ref="I42">_xlfn.XLOOKUP($B$3,Tabla1[[#All],[Municipio ]],Tabla1[[#All],[Prod]],"No aplica")</f>
        <v>9</v>
      </c>
    </row>
  </sheetData>
  <sheetProtection algorithmName="SHA-512" hashValue="et3PvHiz2uFxzeRLv/ZMEFiObL+N7Z/CDWXPqFDZVedWhcBz9cHX6XNHMka0XErWqI+nowe0/8UuLHtQ8ohEQA==" saltValue="j4y3xw92OmTbAYpYyxIETw==" spinCount="100000" sheet="1" objects="1" scenarios="1" selectLockedCells="1"/>
  <mergeCells count="6">
    <mergeCell ref="A29:E29"/>
    <mergeCell ref="A1:E1"/>
    <mergeCell ref="F14:M14"/>
    <mergeCell ref="F1:M1"/>
    <mergeCell ref="F2:H3"/>
    <mergeCell ref="J2:M3"/>
  </mergeCells>
  <pageMargins left="0.70866141732283472" right="0.70866141732283472" top="0.74803149606299213" bottom="0.74803149606299213" header="0.31496062992125984" footer="0.31496062992125984"/>
  <pageSetup paperSize="5" orientation="landscape" r:id="rId1"/>
  <headerFooter>
    <oddHeader>&amp;CSoftware diseñado para complementar el documento Boyacá en Cifras 2024 para la Cámara de Comercio de Tunja, Cámara de Comercio de Duitama y Cámara de Comercio de Sogamoso</oddHeader>
    <oddFooter>Preparado por Hermes Castro &amp;D&amp;RPágina &amp;P</oddFooter>
  </headerFooter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23137B6-3BA8-4868-BE79-2FEEDD7EB255}">
          <x14:formula1>
            <xm:f>BaseMun!$B$3:$B$126</xm:f>
          </x14:formula1>
          <xm:sqref>B2:B3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9C4948-C9B7-4EAB-9576-D829C60CF28F}">
  <sheetPr>
    <tabColor rgb="FF0070C0"/>
  </sheetPr>
  <dimension ref="A1:P43"/>
  <sheetViews>
    <sheetView topLeftCell="A37" zoomScaleNormal="100" workbookViewId="0">
      <selection activeCell="B2" sqref="B2"/>
    </sheetView>
  </sheetViews>
  <sheetFormatPr baseColWidth="10" defaultRowHeight="15" x14ac:dyDescent="0.25"/>
  <cols>
    <col min="1" max="1" width="13.5703125" style="38" customWidth="1"/>
    <col min="2" max="2" width="25.7109375" style="39" customWidth="1"/>
    <col min="3" max="3" width="23.85546875" style="39" customWidth="1"/>
    <col min="4" max="4" width="16.85546875" style="39" customWidth="1"/>
    <col min="5" max="5" width="6.85546875" style="38" customWidth="1"/>
    <col min="6" max="6" width="9.85546875" style="38" customWidth="1"/>
    <col min="7" max="7" width="10.5703125" style="38" customWidth="1"/>
    <col min="8" max="8" width="8.5703125" style="38" customWidth="1"/>
    <col min="9" max="9" width="8.85546875" style="38" customWidth="1"/>
    <col min="10" max="10" width="7.5703125" style="38" customWidth="1"/>
    <col min="11" max="11" width="8.28515625" style="38" customWidth="1"/>
    <col min="12" max="12" width="9.28515625" style="38" customWidth="1"/>
    <col min="13" max="13" width="9.85546875" style="38" customWidth="1"/>
    <col min="14" max="16384" width="11.42578125" style="38"/>
  </cols>
  <sheetData>
    <row r="1" spans="1:16" ht="21" customHeight="1" x14ac:dyDescent="0.35">
      <c r="A1" s="158" t="s">
        <v>348</v>
      </c>
      <c r="B1" s="158"/>
      <c r="C1" s="158"/>
      <c r="D1" s="158"/>
      <c r="E1" s="158"/>
      <c r="F1" s="107"/>
      <c r="G1" s="107"/>
      <c r="H1" s="107"/>
      <c r="I1" s="107"/>
      <c r="J1" s="107"/>
      <c r="K1" s="107"/>
      <c r="L1" s="107"/>
      <c r="M1" s="107"/>
    </row>
    <row r="2" spans="1:16" ht="15" customHeight="1" x14ac:dyDescent="0.35">
      <c r="A2" s="93" t="s">
        <v>320</v>
      </c>
      <c r="B2" s="94" t="s">
        <v>171</v>
      </c>
      <c r="C2" s="95" t="str">
        <f>_xlfn.CONCAT("provincia ",_xlfn.XLOOKUP(B2,Tabla1[[#All],[Municipio ]],Tabla1[[#All],[Provincia]],"No aplica"))</f>
        <v>provincia Centro</v>
      </c>
      <c r="D2" s="93" t="s">
        <v>322</v>
      </c>
      <c r="F2" s="107"/>
      <c r="G2" s="107"/>
      <c r="H2" s="107"/>
      <c r="I2" s="107"/>
      <c r="J2" s="107"/>
      <c r="K2" s="107"/>
      <c r="L2" s="107"/>
      <c r="M2" s="107"/>
    </row>
    <row r="3" spans="1:16" ht="15" customHeight="1" x14ac:dyDescent="0.25">
      <c r="A3" s="93" t="s">
        <v>320</v>
      </c>
      <c r="B3" s="96" t="s">
        <v>237</v>
      </c>
      <c r="C3" s="97" t="str">
        <f>_xlfn.CONCAT("provincia ",_xlfn.XLOOKUP(B3,Tabla1[[#All],[Municipio ]],Tabla1[[#All],[Provincia]],"No aplica"))</f>
        <v>provincia Sugamuxi</v>
      </c>
      <c r="D3" s="98"/>
      <c r="M3" s="39"/>
      <c r="N3" s="40"/>
      <c r="O3" s="40"/>
      <c r="P3" s="40"/>
    </row>
    <row r="4" spans="1:16" ht="8.25" customHeight="1" x14ac:dyDescent="0.25">
      <c r="A4" s="108"/>
      <c r="B4" s="98"/>
      <c r="C4" s="98"/>
      <c r="D4" s="98"/>
      <c r="F4" s="88"/>
      <c r="G4" s="88"/>
      <c r="H4" s="88"/>
    </row>
    <row r="5" spans="1:16" ht="15" customHeight="1" x14ac:dyDescent="0.25">
      <c r="A5" s="118" t="s">
        <v>317</v>
      </c>
      <c r="B5" s="118" t="str">
        <f>+B2</f>
        <v>Samacá</v>
      </c>
      <c r="C5" s="118" t="str">
        <f>+B3</f>
        <v>Tópaga</v>
      </c>
      <c r="H5" s="110" t="s">
        <v>357</v>
      </c>
      <c r="I5" s="111" t="s">
        <v>356</v>
      </c>
      <c r="J5" s="89" t="s">
        <v>355</v>
      </c>
      <c r="K5" s="39" t="s">
        <v>354</v>
      </c>
      <c r="L5" s="40" t="s">
        <v>353</v>
      </c>
      <c r="M5" s="40" t="s">
        <v>352</v>
      </c>
    </row>
    <row r="6" spans="1:16" ht="15" customHeight="1" x14ac:dyDescent="0.25">
      <c r="A6" s="112" t="s">
        <v>349</v>
      </c>
      <c r="B6" s="113" cm="1">
        <f t="array" ref="B6">_xlfn.XLOOKUP($B$2,Tabla1[[#All],[Municipio ]],Tabla1[[#All],[N_Hombres]],"No aplica")</f>
        <v>9982</v>
      </c>
      <c r="C6" s="113" cm="1">
        <f t="array" ref="C6">_xlfn.XLOOKUP($B$3,Tabla1[[#All],[Municipio ]],Tabla1[[#All],[N_Hombres]],"No aplica")</f>
        <v>1870</v>
      </c>
      <c r="G6" s="39" t="str">
        <f>+B2</f>
        <v>Samacá</v>
      </c>
      <c r="H6" s="89" cm="1">
        <f t="array" ref="H6">_xlfn.XLOOKUP($B$2,Tabla1[[#All],[Municipio ]],Tabla1[[#All],[0-6años]],"No aplica")</f>
        <v>2446</v>
      </c>
      <c r="I6" s="89" cm="1">
        <f t="array" ref="I6">_xlfn.XLOOKUP($B$2,Tabla1[[#All],[Municipio ]],Tabla1[[#All],[7-14años]],"No aplica")</f>
        <v>2723</v>
      </c>
      <c r="J6" s="89" cm="1">
        <f t="array" ref="J6">_xlfn.XLOOKUP($B$2,Tabla1[[#All],[Municipio ]],Tabla1[[#All],[15-17años]],"No aplica")</f>
        <v>986</v>
      </c>
      <c r="K6" s="89" cm="1">
        <f t="array" ref="K6">_xlfn.XLOOKUP($B$2,Tabla1[[#All],[Municipio ]],Tabla1[[#All],[18-26años]],"No aplica")</f>
        <v>2974</v>
      </c>
      <c r="L6" s="89" cm="1">
        <f t="array" ref="L6">_xlfn.XLOOKUP($B$2,Tabla1[[#All],[Municipio ]],Tabla1[[#All],[27-59años]],"No aplica")</f>
        <v>8330</v>
      </c>
      <c r="M6" s="89" cm="1">
        <f t="array" ref="M6">_xlfn.XLOOKUP($B$2,Tabla1[[#All],[Municipio ]],Tabla1[[#All],[60 o masaños]],"No aplica")</f>
        <v>2391</v>
      </c>
    </row>
    <row r="7" spans="1:16" ht="15" customHeight="1" x14ac:dyDescent="0.25">
      <c r="A7" s="112" t="s">
        <v>350</v>
      </c>
      <c r="B7" s="113" cm="1">
        <f t="array" ref="B7">_xlfn.XLOOKUP($B$2,Tabla1[[#All],[Municipio ]],Tabla1[[#All],[N_Mujeres]],"No aplica")</f>
        <v>9868</v>
      </c>
      <c r="C7" s="113" cm="1">
        <f t="array" ref="C7">_xlfn.XLOOKUP($B$3,Tabla1[[#All],[Municipio ]],Tabla1[[#All],[N_Mujeres]],"No aplica")</f>
        <v>2007</v>
      </c>
      <c r="G7" s="39" t="str">
        <f>+B3</f>
        <v>Tópaga</v>
      </c>
      <c r="H7" s="89" cm="1">
        <f t="array" ref="H7">_xlfn.XLOOKUP($B$3,Tabla1[[#All],[Municipio ]],Tabla1[[#All],[0-6años]],"No aplica")</f>
        <v>431</v>
      </c>
      <c r="I7" s="89" cm="1">
        <f t="array" ref="I7">_xlfn.XLOOKUP($B$3,Tabla1[[#All],[Municipio ]],Tabla1[[#All],[7-14años]],"No aplica")</f>
        <v>490</v>
      </c>
      <c r="J7" s="89" cm="1">
        <f t="array" ref="J7">_xlfn.XLOOKUP($B$3,Tabla1[[#All],[Municipio ]],Tabla1[[#All],[15-17años]],"No aplica")</f>
        <v>188</v>
      </c>
      <c r="K7" s="89" cm="1">
        <f t="array" ref="K7">_xlfn.XLOOKUP($B$3,Tabla1[[#All],[Municipio ]],Tabla1[[#All],[18-26años]],"No aplica")</f>
        <v>544</v>
      </c>
      <c r="L7" s="89" cm="1">
        <f t="array" ref="L7">_xlfn.XLOOKUP($B$3,Tabla1[[#All],[Municipio ]],Tabla1[[#All],[27-59años]],"No aplica")</f>
        <v>1541</v>
      </c>
      <c r="M7" s="89" cm="1">
        <f t="array" ref="M7">_xlfn.XLOOKUP($B$3,Tabla1[[#All],[Municipio ]],Tabla1[[#All],[60 o masaños]],"No aplica")</f>
        <v>683</v>
      </c>
    </row>
    <row r="8" spans="1:16" ht="15" customHeight="1" x14ac:dyDescent="0.25">
      <c r="A8" s="114" t="s">
        <v>351</v>
      </c>
      <c r="B8" s="115">
        <f>SUM(B6:B7)</f>
        <v>19850</v>
      </c>
      <c r="C8" s="115">
        <f>SUM(C6:C7)</f>
        <v>3877</v>
      </c>
      <c r="G8" s="38">
        <f>+G5</f>
        <v>0</v>
      </c>
      <c r="H8" s="38" t="str">
        <f t="shared" ref="H8:M8" si="0">+H5</f>
        <v>0-6</v>
      </c>
      <c r="I8" s="38" t="str">
        <f t="shared" si="0"/>
        <v>7-14</v>
      </c>
      <c r="J8" s="38" t="str">
        <f t="shared" si="0"/>
        <v>15-17</v>
      </c>
      <c r="K8" s="38" t="str">
        <f t="shared" si="0"/>
        <v>18-26</v>
      </c>
      <c r="L8" s="38" t="str">
        <f t="shared" si="0"/>
        <v>27-59</v>
      </c>
      <c r="M8" s="38" t="str">
        <f t="shared" si="0"/>
        <v>60 o mas</v>
      </c>
    </row>
    <row r="9" spans="1:16" ht="15" customHeight="1" x14ac:dyDescent="0.25">
      <c r="A9" s="39"/>
      <c r="B9" s="90"/>
      <c r="C9" s="90"/>
      <c r="F9" s="39"/>
      <c r="G9" s="38" t="str">
        <f t="shared" ref="G9:G10" si="1">+G6</f>
        <v>Samacá</v>
      </c>
      <c r="H9" s="116">
        <f>-H6/SUM($H$6:$M$6)</f>
        <v>-0.12322418136020151</v>
      </c>
      <c r="I9" s="116">
        <f t="shared" ref="I9:M9" si="2">-I6/SUM($H$6:$M$6)</f>
        <v>-0.13717884130982369</v>
      </c>
      <c r="J9" s="116">
        <f t="shared" si="2"/>
        <v>-4.9672544080604536E-2</v>
      </c>
      <c r="K9" s="116">
        <f t="shared" si="2"/>
        <v>-0.14982367758186399</v>
      </c>
      <c r="L9" s="116">
        <f t="shared" si="2"/>
        <v>-0.41964735516372798</v>
      </c>
      <c r="M9" s="116">
        <f t="shared" si="2"/>
        <v>-0.12045340050377834</v>
      </c>
    </row>
    <row r="10" spans="1:16" ht="15" customHeight="1" x14ac:dyDescent="0.25">
      <c r="A10" s="88"/>
      <c r="B10" s="91"/>
      <c r="C10" s="91"/>
      <c r="F10" s="88"/>
      <c r="G10" s="38" t="str">
        <f t="shared" si="1"/>
        <v>Tópaga</v>
      </c>
      <c r="H10" s="90">
        <f>+H7/SUM($H$7:$M$7)</f>
        <v>0.11116842919783337</v>
      </c>
      <c r="I10" s="90">
        <f t="shared" ref="I10:M10" si="3">+I7/SUM($H$7:$M$7)</f>
        <v>0.1263863812225948</v>
      </c>
      <c r="J10" s="90">
        <f t="shared" si="3"/>
        <v>4.8491101367036368E-2</v>
      </c>
      <c r="K10" s="90">
        <f t="shared" si="3"/>
        <v>0.14031467629610522</v>
      </c>
      <c r="L10" s="90">
        <f t="shared" si="3"/>
        <v>0.39747227237554811</v>
      </c>
      <c r="M10" s="90">
        <f t="shared" si="3"/>
        <v>0.17616713954088212</v>
      </c>
    </row>
    <row r="11" spans="1:16" ht="15" customHeight="1" x14ac:dyDescent="0.25">
      <c r="A11" s="39"/>
      <c r="B11" s="89"/>
      <c r="C11" s="89"/>
      <c r="F11" s="39"/>
      <c r="G11" s="89"/>
      <c r="H11" s="89"/>
      <c r="I11" s="39"/>
    </row>
    <row r="12" spans="1:16" ht="15" customHeight="1" x14ac:dyDescent="0.25">
      <c r="A12" s="39"/>
      <c r="B12" s="89"/>
      <c r="C12" s="89"/>
      <c r="D12" s="38"/>
      <c r="F12" s="39"/>
      <c r="G12" s="89"/>
      <c r="H12" s="89"/>
    </row>
    <row r="13" spans="1:16" ht="15" customHeight="1" x14ac:dyDescent="0.25">
      <c r="A13" s="39"/>
      <c r="B13" s="90"/>
      <c r="C13" s="90"/>
      <c r="D13" s="38"/>
      <c r="F13" s="39"/>
      <c r="G13" s="90"/>
      <c r="H13" s="90"/>
    </row>
    <row r="14" spans="1:16" ht="21" x14ac:dyDescent="0.35">
      <c r="B14" s="38"/>
      <c r="C14" s="38"/>
      <c r="D14" s="38"/>
      <c r="F14" s="154"/>
      <c r="G14" s="154"/>
      <c r="H14" s="154"/>
      <c r="I14" s="154"/>
      <c r="J14" s="154"/>
      <c r="K14" s="154"/>
      <c r="L14" s="154"/>
      <c r="M14" s="154"/>
    </row>
    <row r="15" spans="1:16" x14ac:dyDescent="0.25">
      <c r="B15" s="38"/>
      <c r="C15" s="38"/>
      <c r="D15" s="38"/>
      <c r="G15" s="92"/>
      <c r="H15" s="92"/>
      <c r="I15" s="92"/>
      <c r="J15" s="92"/>
      <c r="K15" s="92"/>
      <c r="L15" s="92"/>
      <c r="M15" s="92"/>
    </row>
    <row r="16" spans="1:16" x14ac:dyDescent="0.25">
      <c r="B16" s="38"/>
      <c r="C16" s="38"/>
      <c r="D16" s="38"/>
      <c r="G16" s="89"/>
      <c r="H16" s="89"/>
      <c r="I16" s="89"/>
      <c r="J16" s="89"/>
      <c r="K16" s="89"/>
      <c r="L16" s="89"/>
      <c r="M16" s="89"/>
    </row>
    <row r="17" spans="1:13" x14ac:dyDescent="0.25">
      <c r="B17" s="38"/>
      <c r="C17" s="38"/>
      <c r="G17" s="89"/>
      <c r="H17" s="89"/>
      <c r="I17" s="89"/>
      <c r="J17" s="89"/>
      <c r="K17" s="89"/>
      <c r="L17" s="89"/>
      <c r="M17" s="89"/>
    </row>
    <row r="18" spans="1:13" x14ac:dyDescent="0.25">
      <c r="B18" s="38"/>
      <c r="C18" s="38"/>
    </row>
    <row r="19" spans="1:13" x14ac:dyDescent="0.25">
      <c r="B19" s="38"/>
      <c r="C19" s="38"/>
    </row>
    <row r="20" spans="1:13" x14ac:dyDescent="0.25">
      <c r="B20" s="38"/>
      <c r="C20" s="38"/>
      <c r="F20" s="38" t="s">
        <v>317</v>
      </c>
      <c r="G20" s="38" t="s">
        <v>364</v>
      </c>
      <c r="H20" s="38" t="s">
        <v>365</v>
      </c>
    </row>
    <row r="21" spans="1:13" x14ac:dyDescent="0.25">
      <c r="F21" s="38" t="str">
        <f>+B2</f>
        <v>Samacá</v>
      </c>
      <c r="G21" s="113" cm="1">
        <f t="array" ref="G21">_xlfn.XLOOKUP($B$2,Tabla1[[#All],[Municipio ]],Tabla1[[#All],[Comf_Empresas]],"No aplica")</f>
        <v>388</v>
      </c>
      <c r="H21" s="113" cm="1">
        <f t="array" ref="H21">_xlfn.XLOOKUP($B$2,Tabla1[[#All],[Municipio ]],Tabla1[[#All],[Comf_Empleos]],"No aplica")</f>
        <v>5477</v>
      </c>
    </row>
    <row r="22" spans="1:13" x14ac:dyDescent="0.25">
      <c r="F22" s="38" t="str">
        <f>+B3</f>
        <v>Tópaga</v>
      </c>
      <c r="G22" s="113" cm="1">
        <f t="array" ref="G22">_xlfn.XLOOKUP($B$3,Tabla1[[#All],[Municipio ]],Tabla1[[#All],[Comf_Empresas]],"No aplica")</f>
        <v>36</v>
      </c>
      <c r="H22" s="113" cm="1">
        <f t="array" ref="H22">_xlfn.XLOOKUP($B$3,Tabla1[[#All],[Municipio ]],Tabla1[[#All],[Comf_Empleos]],"No aplica")</f>
        <v>298</v>
      </c>
    </row>
    <row r="23" spans="1:13" x14ac:dyDescent="0.25">
      <c r="A23" s="38" t="s">
        <v>366</v>
      </c>
      <c r="B23" s="39" t="str">
        <f>+B2</f>
        <v>Samacá</v>
      </c>
      <c r="C23" s="39" t="str">
        <f>+B3</f>
        <v>Tópaga</v>
      </c>
    </row>
    <row r="24" spans="1:13" x14ac:dyDescent="0.25">
      <c r="A24" s="38" t="s">
        <v>261</v>
      </c>
      <c r="B24" s="113" cm="1">
        <f t="array" ref="B24">_xlfn.XLOOKUP($B$2,Tabla1[[#All],[Municipio ]],Tabla1[[#All],[Matrículas_2024]],"No aplica")</f>
        <v>4877</v>
      </c>
      <c r="C24" s="113" cm="1">
        <f t="array" ref="C24">_xlfn.XLOOKUP($B$3,Tabla1[[#All],[Municipio ]],Tabla1[[#All],[Matrículas_2024]],"No aplica")</f>
        <v>670</v>
      </c>
    </row>
    <row r="25" spans="1:13" x14ac:dyDescent="0.25">
      <c r="A25" s="38" t="s">
        <v>367</v>
      </c>
      <c r="B25" s="113" cm="1">
        <f t="array" ref="B25">_xlfn.XLOOKUP($B$2,Tabla1[[#All],[Municipio ]],Tabla1[[#All],[Establecimientos_2024]],"No aplica")</f>
        <v>8</v>
      </c>
      <c r="C25" s="113" cm="1">
        <f t="array" ref="C25">_xlfn.XLOOKUP($B$3,Tabla1[[#All],[Municipio ]],Tabla1[[#All],[Establecimientos_2024]],"No aplica")</f>
        <v>2</v>
      </c>
    </row>
    <row r="26" spans="1:13" x14ac:dyDescent="0.25">
      <c r="A26" s="38" t="s">
        <v>368</v>
      </c>
      <c r="B26" s="113" cm="1">
        <f t="array" ref="B26">_xlfn.XLOOKUP($B$2,Tabla1[[#All],[Municipio ]],Tabla1[[#All],[ICFES_2024]],"No aplica")</f>
        <v>287.75</v>
      </c>
      <c r="C26" s="113" cm="1">
        <f t="array" ref="C26">_xlfn.XLOOKUP($B$3,Tabla1[[#All],[Municipio ]],Tabla1[[#All],[ICFES_2024]],"No aplica")</f>
        <v>265</v>
      </c>
    </row>
    <row r="29" spans="1:13" ht="21" x14ac:dyDescent="0.35">
      <c r="A29" s="154"/>
      <c r="B29" s="154"/>
      <c r="C29" s="154"/>
      <c r="D29" s="154"/>
      <c r="E29" s="154"/>
    </row>
    <row r="31" spans="1:13" x14ac:dyDescent="0.25">
      <c r="B31" s="89"/>
      <c r="C31" s="89"/>
      <c r="D31" s="89"/>
      <c r="E31" s="89"/>
    </row>
    <row r="32" spans="1:13" x14ac:dyDescent="0.25">
      <c r="B32" s="89"/>
      <c r="C32" s="89"/>
      <c r="D32" s="89"/>
      <c r="E32" s="89"/>
    </row>
    <row r="34" spans="2:9" x14ac:dyDescent="0.25">
      <c r="G34" s="38" t="s">
        <v>317</v>
      </c>
      <c r="H34" s="109" t="str">
        <f>+B2</f>
        <v>Samacá</v>
      </c>
      <c r="I34" s="109" t="str">
        <f>+C5</f>
        <v>Tópaga</v>
      </c>
    </row>
    <row r="35" spans="2:9" x14ac:dyDescent="0.25">
      <c r="G35" s="92" t="s">
        <v>373</v>
      </c>
      <c r="H35" s="113" cm="1">
        <f t="array" ref="H35">_xlfn.XLOOKUP($B$2,Tabla1[[#All],[Municipio ]],Tabla1[[#All],[Contributivo_2024]],"No aplica")</f>
        <v>10557</v>
      </c>
      <c r="I35" s="113" cm="1">
        <f t="array" ref="I35">_xlfn.XLOOKUP($B$3,Tabla1[[#All],[Municipio ]],Tabla1[[#All],[Contributivo_2024]],"No aplica")</f>
        <v>889</v>
      </c>
    </row>
    <row r="36" spans="2:9" x14ac:dyDescent="0.25">
      <c r="B36" s="38" t="s">
        <v>268</v>
      </c>
      <c r="C36" s="39" t="str">
        <f>+B2</f>
        <v>Samacá</v>
      </c>
      <c r="D36" s="39" t="str">
        <f>+B3</f>
        <v>Tópaga</v>
      </c>
      <c r="E36" s="39"/>
      <c r="G36" s="92" t="s">
        <v>374</v>
      </c>
      <c r="H36" s="113" cm="1">
        <f t="array" ref="H36">_xlfn.XLOOKUP($B$2,Tabla1[[#All],[Municipio ]],Tabla1[[#All],[Especial_2024]],"No aplica")</f>
        <v>65</v>
      </c>
      <c r="I36" s="113" cm="1">
        <f t="array" ref="I36">_xlfn.XLOOKUP($B$3,Tabla1[[#All],[Municipio ]],Tabla1[[#All],[Especial_2024]],"No aplica")</f>
        <v>4</v>
      </c>
    </row>
    <row r="37" spans="2:9" x14ac:dyDescent="0.25">
      <c r="B37" s="92" t="s">
        <v>369</v>
      </c>
      <c r="C37" s="113" cm="1">
        <f t="array" ref="C37">_xlfn.XLOOKUP($B$2,Tabla1[[#All],[Municipio ]],Tabla1[[#All],[IPS_2024]],"No aplica")</f>
        <v>17</v>
      </c>
      <c r="D37" s="113" cm="1">
        <f t="array" ref="D37">_xlfn.XLOOKUP($B$3,Tabla1[[#All],[Municipio ]],Tabla1[[#All],[IPS_2024]],"No aplica")</f>
        <v>1</v>
      </c>
      <c r="E37" s="39"/>
      <c r="G37" s="92" t="s">
        <v>375</v>
      </c>
      <c r="H37" s="113" cm="1">
        <f t="array" ref="H37">_xlfn.XLOOKUP($B$2,Tabla1[[#All],[Municipio ]],Tabla1[[#All],[Subisidiado_2024]],"No aplica")</f>
        <v>12142</v>
      </c>
      <c r="I37" s="113" cm="1">
        <f t="array" ref="I37">_xlfn.XLOOKUP($B$3,Tabla1[[#All],[Municipio ]],Tabla1[[#All],[Subisidiado_2024]],"No aplica")</f>
        <v>1912</v>
      </c>
    </row>
    <row r="38" spans="2:9" x14ac:dyDescent="0.25">
      <c r="B38" s="92" t="s">
        <v>370</v>
      </c>
      <c r="C38" s="113" cm="1">
        <f t="array" ref="C38">_xlfn.XLOOKUP($B$2,Tabla1[[#All],[Municipio ]],Tabla1[[#All],[Ambulancias_2024]],"No aplica")</f>
        <v>3</v>
      </c>
      <c r="D38" s="113" cm="1">
        <f t="array" ref="D38">_xlfn.XLOOKUP($B$3,Tabla1[[#All],[Municipio ]],Tabla1[[#All],[Ambulancias_2024]],"No aplica")</f>
        <v>1</v>
      </c>
      <c r="E38" s="39"/>
      <c r="G38" s="117"/>
      <c r="H38" s="113"/>
      <c r="I38" s="113"/>
    </row>
    <row r="39" spans="2:9" x14ac:dyDescent="0.25">
      <c r="B39" s="92" t="s">
        <v>371</v>
      </c>
      <c r="C39" s="113" cm="1">
        <f t="array" ref="C39">_xlfn.XLOOKUP($B$2,Tabla1[[#All],[Municipio ]],Tabla1[[#All],[Salas_2024]],"No aplica")</f>
        <v>5</v>
      </c>
      <c r="D39" s="113" cm="1">
        <f t="array" ref="D39">_xlfn.XLOOKUP($B$3,Tabla1[[#All],[Municipio ]],Tabla1[[#All],[Salas_2024]],"No aplica")</f>
        <v>0</v>
      </c>
      <c r="E39" s="39"/>
      <c r="H39" s="89"/>
      <c r="I39" s="89"/>
    </row>
    <row r="40" spans="2:9" x14ac:dyDescent="0.25">
      <c r="B40" s="92" t="s">
        <v>372</v>
      </c>
      <c r="C40" s="113" cm="1">
        <f t="array" ref="C40">_xlfn.XLOOKUP($B$2,Tabla1[[#All],[Municipio ]],Tabla1[[#All],[Camas_2024]],"No aplica")</f>
        <v>6</v>
      </c>
      <c r="D40" s="113" cm="1">
        <f t="array" ref="D40">_xlfn.XLOOKUP($B$3,Tabla1[[#All],[Municipio ]],Tabla1[[#All],[Camas_2024]],"No aplica")</f>
        <v>0</v>
      </c>
      <c r="E40" s="39"/>
      <c r="H40" s="89"/>
      <c r="I40" s="89"/>
    </row>
    <row r="41" spans="2:9" x14ac:dyDescent="0.25">
      <c r="B41" s="38"/>
      <c r="E41" s="39"/>
      <c r="H41" s="89"/>
      <c r="I41" s="89"/>
    </row>
    <row r="42" spans="2:9" ht="21" x14ac:dyDescent="0.35">
      <c r="B42" s="154"/>
      <c r="C42" s="154"/>
      <c r="D42" s="154"/>
      <c r="E42" s="154"/>
      <c r="F42" s="154"/>
      <c r="H42" s="89"/>
      <c r="I42" s="89"/>
    </row>
    <row r="43" spans="2:9" x14ac:dyDescent="0.25">
      <c r="B43" s="38"/>
      <c r="E43" s="39"/>
    </row>
  </sheetData>
  <sheetProtection algorithmName="SHA-512" hashValue="clr/V81gr14hIwq0VO8WqehKCHDsiBKDoVeyLLqD1UOp+wisET4EC7bUsxeguwh1evr3+B5MvR9YDT2haenOxA==" saltValue="L/LRF7cmBb8/Oroue1YMxA==" spinCount="100000" sheet="1" objects="1" scenarios="1" selectLockedCells="1"/>
  <mergeCells count="4">
    <mergeCell ref="B42:F42"/>
    <mergeCell ref="A1:E1"/>
    <mergeCell ref="F14:M14"/>
    <mergeCell ref="A29:E29"/>
  </mergeCells>
  <pageMargins left="0.70866141732283472" right="0.70866141732283472" top="0.74803149606299213" bottom="0.74803149606299213" header="0.31496062992125984" footer="0.31496062992125984"/>
  <pageSetup paperSize="5" orientation="landscape" r:id="rId1"/>
  <headerFooter>
    <oddHeader>&amp;CCámara de Comercio de Tunja, Cámara de Comercio de Duitama y Cámara de Comercio de Sogamoso</oddHeader>
    <oddFooter>&amp;LHermes Castro&amp;CPágina &amp;P&amp;R&amp;D</oddFooter>
  </headerFooter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046BCAF-AA15-4107-9ECD-3D2BAFB12171}">
          <x14:formula1>
            <xm:f>BaseMun!$B$3:$B$126</xm:f>
          </x14:formula1>
          <xm:sqref>B2:B3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C80D24-CEE1-4E87-B6B1-9FA62EF05989}">
  <sheetPr>
    <tabColor rgb="FF00B050"/>
  </sheetPr>
  <dimension ref="A1:I22"/>
  <sheetViews>
    <sheetView showGridLines="0" showRowColHeaders="0" showRuler="0" topLeftCell="A4" zoomScaleNormal="100" workbookViewId="0">
      <selection activeCell="B3" sqref="B3"/>
    </sheetView>
  </sheetViews>
  <sheetFormatPr baseColWidth="10" defaultRowHeight="15" x14ac:dyDescent="0.25"/>
  <cols>
    <col min="1" max="1" width="12.42578125" style="77" bestFit="1" customWidth="1"/>
    <col min="2" max="2" width="21.42578125" style="77" customWidth="1"/>
    <col min="3" max="3" width="18.28515625" style="77" bestFit="1" customWidth="1"/>
    <col min="4" max="4" width="17.140625" style="77" bestFit="1" customWidth="1"/>
    <col min="5" max="16384" width="11.42578125" style="77"/>
  </cols>
  <sheetData>
    <row r="1" spans="1:9" ht="18.75" x14ac:dyDescent="0.25">
      <c r="A1" s="159" t="s">
        <v>376</v>
      </c>
      <c r="B1" s="159"/>
      <c r="C1" s="159"/>
      <c r="D1" s="159"/>
      <c r="E1" s="159"/>
      <c r="G1" s="78" t="s">
        <v>317</v>
      </c>
      <c r="H1" s="78" t="str">
        <f>+B2</f>
        <v>Tópaga</v>
      </c>
      <c r="I1" s="78" t="str">
        <f>+B3</f>
        <v>Samacá</v>
      </c>
    </row>
    <row r="2" spans="1:9" x14ac:dyDescent="0.25">
      <c r="A2" s="83" t="s">
        <v>320</v>
      </c>
      <c r="B2" s="94" t="s">
        <v>237</v>
      </c>
      <c r="C2" s="84" t="str">
        <f>_xlfn.CONCAT("provincia ",_xlfn.XLOOKUP(B2,Tabla1[[#All],[Municipio ]],Tabla1[[#All],[Provincia]],"No aplica"))</f>
        <v>provincia Sugamuxi</v>
      </c>
      <c r="D2" s="83" t="s">
        <v>322</v>
      </c>
      <c r="E2" s="79"/>
      <c r="G2" s="80" t="s">
        <v>378</v>
      </c>
      <c r="H2" s="81" cm="1">
        <f t="array" ref="H2">_xlfn.XLOOKUP($B$2,Tabla1[[#All],[Municipio ]],Tabla1[[#All],[Eventos_2024]],"No aplica")</f>
        <v>5</v>
      </c>
      <c r="I2" s="81" cm="1">
        <f t="array" ref="I2">_xlfn.XLOOKUP($B$3,Tabla1[[#All],[Municipio ]],Tabla1[[#All],[Eventos_2024]],"No aplica")</f>
        <v>8</v>
      </c>
    </row>
    <row r="3" spans="1:9" x14ac:dyDescent="0.25">
      <c r="A3" s="83" t="s">
        <v>320</v>
      </c>
      <c r="B3" s="96" t="s">
        <v>171</v>
      </c>
      <c r="C3" s="85" t="str">
        <f>_xlfn.CONCAT("provincia ",_xlfn.XLOOKUP(B3,Tabla1[[#All],[Municipio ]],Tabla1[[#All],[Provincia]],"No aplica"))</f>
        <v>provincia Centro</v>
      </c>
      <c r="D3" s="86"/>
      <c r="E3" s="79"/>
      <c r="G3" s="80"/>
      <c r="H3" s="81"/>
      <c r="I3" s="81"/>
    </row>
    <row r="4" spans="1:9" ht="24" x14ac:dyDescent="0.25">
      <c r="A4" s="87"/>
      <c r="B4" s="86"/>
      <c r="C4" s="86"/>
      <c r="D4" s="86"/>
      <c r="E4" s="79"/>
    </row>
    <row r="5" spans="1:9" x14ac:dyDescent="0.25">
      <c r="A5" s="160" t="s">
        <v>379</v>
      </c>
      <c r="B5" s="160"/>
      <c r="C5" s="160"/>
      <c r="D5" s="86"/>
      <c r="E5" s="79"/>
    </row>
    <row r="6" spans="1:9" x14ac:dyDescent="0.25">
      <c r="A6" s="119" t="s">
        <v>317</v>
      </c>
      <c r="B6" s="119" t="str">
        <f>+B2</f>
        <v>Tópaga</v>
      </c>
      <c r="C6" s="119" t="str">
        <f>+B3</f>
        <v>Samacá</v>
      </c>
      <c r="D6" s="82"/>
      <c r="E6" s="79"/>
    </row>
    <row r="7" spans="1:9" x14ac:dyDescent="0.25">
      <c r="A7" s="100" t="s">
        <v>269</v>
      </c>
      <c r="B7" s="101" t="str" cm="1">
        <f t="array" ref="B7">_xlfn.XLOOKUP($B$2,Tabla1[[#All],[Municipio ]],Tabla1[[#All],[Riesgo_2024]],"No aplica")</f>
        <v>Alto</v>
      </c>
      <c r="C7" s="101" t="str" cm="1">
        <f t="array" ref="C7">_xlfn.XLOOKUP($B$3,Tabla1[[#All],[Municipio ]],Tabla1[[#All],[Riesgo_2024]],"No aplica")</f>
        <v>Medio</v>
      </c>
      <c r="D7" s="82"/>
      <c r="E7" s="79"/>
    </row>
    <row r="8" spans="1:9" x14ac:dyDescent="0.25">
      <c r="A8" s="80" t="s">
        <v>377</v>
      </c>
      <c r="B8" s="81" cm="1">
        <f t="array" ref="B8">_xlfn.XLOOKUP($B$2,Tabla1[[#All],[Municipio ]],Tabla1[[#All],[Acueductos_2024]],"No aplica")</f>
        <v>4</v>
      </c>
      <c r="C8" s="81" cm="1">
        <f t="array" ref="C8">_xlfn.XLOOKUP($B$3,Tabla1[[#All],[Municipio ]],Tabla1[[#All],[Acueductos_2024]],"No aplica")</f>
        <v>14</v>
      </c>
      <c r="D8" s="82"/>
      <c r="E8" s="79"/>
    </row>
    <row r="22" s="77" customFormat="1" ht="9" customHeight="1" x14ac:dyDescent="0.25"/>
  </sheetData>
  <sheetProtection algorithmName="SHA-512" hashValue="/W73fSYyXaJXL+De02Gdw1mRl6FmUc7Fz+A73kUHyo4g4CSDdn+z87zPfQ4A8iahOBI4ZyMqjwUrgJBqMZmHdw==" saltValue="1rivPflSGuLn9qjslxMEew==" spinCount="100000" sheet="1" objects="1" scenarios="1" selectLockedCells="1"/>
  <mergeCells count="2">
    <mergeCell ref="A1:E1"/>
    <mergeCell ref="A5:C5"/>
  </mergeCells>
  <printOptions horizontalCentered="1"/>
  <pageMargins left="0.70866141732283472" right="0.70866141732283472" top="0.74803149606299213" bottom="0.74803149606299213" header="0.31496062992125984" footer="0.31496062992125984"/>
  <pageSetup paperSize="5" orientation="landscape" r:id="rId1"/>
  <headerFooter>
    <oddHeader>&amp;CCámara de Comercio de Tunja, Cámara de Comercio de Duitama y Cámara de Comercio de Sogamoso</oddHeader>
    <oddFooter>&amp;LHermes Castro&amp;CPágina &amp;P&amp;R&amp;D</oddFooter>
  </headerFooter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FB2EFE5-4DB8-4B79-B5A9-2B889C457833}">
          <x14:formula1>
            <xm:f>BaseMun!$B$3:$B$126</xm:f>
          </x14:formula1>
          <xm:sqref>B2:B3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7CB999-8917-4770-984C-042A3652F5B7}">
  <dimension ref="A1:AK35"/>
  <sheetViews>
    <sheetView topLeftCell="J1" workbookViewId="0">
      <selection activeCell="T1" sqref="T1"/>
    </sheetView>
  </sheetViews>
  <sheetFormatPr baseColWidth="10" defaultRowHeight="15" x14ac:dyDescent="0.25"/>
  <cols>
    <col min="1" max="1" width="53.42578125" bestFit="1" customWidth="1"/>
    <col min="2" max="6" width="12" customWidth="1"/>
    <col min="7" max="11" width="14.28515625" customWidth="1"/>
    <col min="12" max="16" width="11.42578125" customWidth="1"/>
    <col min="17" max="19" width="14.5703125" customWidth="1"/>
    <col min="20" max="22" width="12.7109375" customWidth="1"/>
    <col min="23" max="27" width="14.7109375" customWidth="1"/>
    <col min="28" max="32" width="12" customWidth="1"/>
    <col min="33" max="37" width="11.28515625" bestFit="1" customWidth="1"/>
  </cols>
  <sheetData>
    <row r="1" spans="1:37" ht="15.75" x14ac:dyDescent="0.25">
      <c r="A1" s="47" t="s">
        <v>315</v>
      </c>
      <c r="B1" s="48" t="s">
        <v>380</v>
      </c>
      <c r="C1" s="48" t="s">
        <v>381</v>
      </c>
      <c r="D1" s="48" t="s">
        <v>382</v>
      </c>
      <c r="E1" s="48" t="s">
        <v>383</v>
      </c>
      <c r="F1" s="48" t="s">
        <v>384</v>
      </c>
      <c r="G1" s="48" t="s">
        <v>385</v>
      </c>
      <c r="H1" s="48" t="s">
        <v>386</v>
      </c>
      <c r="I1" s="48" t="s">
        <v>387</v>
      </c>
      <c r="J1" s="48" t="s">
        <v>388</v>
      </c>
      <c r="K1" s="48" t="s">
        <v>389</v>
      </c>
      <c r="L1" s="49" t="s">
        <v>390</v>
      </c>
      <c r="M1" s="49" t="s">
        <v>391</v>
      </c>
      <c r="N1" s="49" t="s">
        <v>392</v>
      </c>
      <c r="O1" s="49" t="s">
        <v>393</v>
      </c>
      <c r="P1" s="49" t="s">
        <v>394</v>
      </c>
      <c r="Q1" s="50" t="s">
        <v>395</v>
      </c>
      <c r="R1" s="50" t="s">
        <v>396</v>
      </c>
      <c r="S1" s="50" t="s">
        <v>397</v>
      </c>
      <c r="T1" s="50" t="s">
        <v>398</v>
      </c>
      <c r="U1" s="50" t="s">
        <v>399</v>
      </c>
      <c r="V1" s="50" t="s">
        <v>400</v>
      </c>
      <c r="W1" s="50" t="s">
        <v>401</v>
      </c>
      <c r="X1" s="50" t="s">
        <v>402</v>
      </c>
      <c r="Y1" s="50" t="s">
        <v>403</v>
      </c>
      <c r="Z1" s="50" t="s">
        <v>404</v>
      </c>
      <c r="AA1" s="50" t="s">
        <v>405</v>
      </c>
      <c r="AB1" s="51" t="s">
        <v>406</v>
      </c>
      <c r="AC1" s="51" t="s">
        <v>407</v>
      </c>
      <c r="AD1" s="51" t="s">
        <v>408</v>
      </c>
      <c r="AE1" s="51" t="s">
        <v>409</v>
      </c>
      <c r="AF1" s="51" t="s">
        <v>410</v>
      </c>
      <c r="AG1" s="52" t="s">
        <v>411</v>
      </c>
      <c r="AH1" s="52" t="s">
        <v>412</v>
      </c>
      <c r="AI1" s="52" t="s">
        <v>413</v>
      </c>
      <c r="AJ1" s="52" t="s">
        <v>414</v>
      </c>
      <c r="AK1" s="53" t="s">
        <v>415</v>
      </c>
    </row>
    <row r="2" spans="1:37" ht="15.75" x14ac:dyDescent="0.25">
      <c r="A2" s="41" t="s">
        <v>450</v>
      </c>
      <c r="B2" s="19">
        <v>817900</v>
      </c>
      <c r="C2" s="19">
        <v>906243</v>
      </c>
      <c r="D2" s="19">
        <v>972655</v>
      </c>
      <c r="E2" s="19">
        <v>979584</v>
      </c>
      <c r="F2" s="19">
        <v>995240.51329762861</v>
      </c>
      <c r="G2" s="19">
        <v>19807927</v>
      </c>
      <c r="H2" s="19">
        <v>23331283</v>
      </c>
      <c r="I2" s="19">
        <v>28463668</v>
      </c>
      <c r="J2" s="19">
        <v>30346581</v>
      </c>
      <c r="K2" s="19">
        <v>32382889</v>
      </c>
      <c r="L2" s="20">
        <v>14.770331037006226</v>
      </c>
      <c r="M2" s="20">
        <v>11.836527151616345</v>
      </c>
      <c r="N2" s="20">
        <v>10.885666346536619</v>
      </c>
      <c r="O2" s="20">
        <v>10.507457305613837</v>
      </c>
      <c r="P2" s="20">
        <v>9.5444512973352573</v>
      </c>
      <c r="Q2" s="21">
        <v>39.700000000000003</v>
      </c>
      <c r="R2" s="21">
        <v>36.6</v>
      </c>
      <c r="S2" s="21">
        <v>33</v>
      </c>
      <c r="T2" s="22">
        <v>0.56299999999999994</v>
      </c>
      <c r="U2" s="23">
        <v>0.55600000000000005</v>
      </c>
      <c r="V2" s="23">
        <v>0.54600000000000004</v>
      </c>
      <c r="W2" s="24">
        <v>41.4</v>
      </c>
      <c r="X2" s="24">
        <v>40.799999999999997</v>
      </c>
      <c r="Y2" s="24">
        <v>40.299999999999997</v>
      </c>
      <c r="Z2" s="24">
        <v>40.1</v>
      </c>
      <c r="AA2" s="25">
        <v>40.200000000000003</v>
      </c>
      <c r="AB2" s="26"/>
      <c r="AC2" s="27">
        <v>56</v>
      </c>
      <c r="AD2" s="27">
        <v>57</v>
      </c>
      <c r="AE2" s="27">
        <v>58</v>
      </c>
      <c r="AF2" s="27">
        <v>57</v>
      </c>
      <c r="AG2" s="28">
        <f>SUM(AG3:AG35)</f>
        <v>50407647</v>
      </c>
      <c r="AH2" s="28">
        <f t="shared" ref="AH2:AK2" si="0">SUM(AH3:AH35)</f>
        <v>51117378</v>
      </c>
      <c r="AI2" s="28">
        <f t="shared" si="0"/>
        <v>51682692</v>
      </c>
      <c r="AJ2" s="28">
        <f t="shared" si="0"/>
        <v>52215503</v>
      </c>
      <c r="AK2" s="45">
        <f t="shared" si="0"/>
        <v>52695952</v>
      </c>
    </row>
    <row r="3" spans="1:37" ht="15.75" x14ac:dyDescent="0.25">
      <c r="A3" s="42" t="s">
        <v>416</v>
      </c>
      <c r="B3" s="29">
        <v>615.77193909652476</v>
      </c>
      <c r="C3" s="29">
        <v>678.12557246832023</v>
      </c>
      <c r="D3" s="29">
        <v>715.91701687356112</v>
      </c>
      <c r="E3" s="29">
        <v>716.84409570629805</v>
      </c>
      <c r="F3" s="29">
        <v>723.4015869922182</v>
      </c>
      <c r="G3" s="29">
        <v>9654205.7416463122</v>
      </c>
      <c r="H3" s="29">
        <v>11092018.122330509</v>
      </c>
      <c r="I3" s="29">
        <v>12887558.118713755</v>
      </c>
      <c r="J3" s="29">
        <v>14259112.493238244</v>
      </c>
      <c r="K3" s="29">
        <v>15414615.742835136</v>
      </c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1">
        <v>39</v>
      </c>
      <c r="X3" s="31">
        <v>25.7</v>
      </c>
      <c r="Y3" s="31">
        <v>27.9</v>
      </c>
      <c r="Z3" s="31">
        <v>25.4</v>
      </c>
      <c r="AA3" s="31">
        <v>15.6</v>
      </c>
      <c r="AB3" s="32">
        <v>30</v>
      </c>
      <c r="AC3" s="32">
        <v>29</v>
      </c>
      <c r="AD3" s="32">
        <v>29</v>
      </c>
      <c r="AE3" s="32">
        <v>30</v>
      </c>
      <c r="AF3" s="26">
        <v>30</v>
      </c>
      <c r="AG3" s="33">
        <v>80472</v>
      </c>
      <c r="AH3" s="33">
        <v>82171</v>
      </c>
      <c r="AI3" s="33">
        <v>83690</v>
      </c>
      <c r="AJ3" s="33">
        <v>85056</v>
      </c>
      <c r="AK3" s="46">
        <v>86318</v>
      </c>
    </row>
    <row r="4" spans="1:37" ht="15.75" x14ac:dyDescent="0.25">
      <c r="A4" s="43" t="s">
        <v>417</v>
      </c>
      <c r="B4" s="34">
        <v>121247.01609385105</v>
      </c>
      <c r="C4" s="34">
        <v>137020.32961372682</v>
      </c>
      <c r="D4" s="34">
        <v>146040.20836687976</v>
      </c>
      <c r="E4" s="34">
        <v>146272.28860791906</v>
      </c>
      <c r="F4" s="34">
        <v>149162.56286814398</v>
      </c>
      <c r="G4" s="34">
        <v>22312070.7194192</v>
      </c>
      <c r="H4" s="34">
        <v>26429272.11368138</v>
      </c>
      <c r="I4" s="34">
        <v>31195655.335037105</v>
      </c>
      <c r="J4" s="34">
        <v>33748508.438388571</v>
      </c>
      <c r="K4" s="34">
        <v>36680563.989979304</v>
      </c>
      <c r="L4" s="35">
        <v>17.621774649999999</v>
      </c>
      <c r="M4" s="35">
        <v>13.691361471</v>
      </c>
      <c r="N4" s="35">
        <v>10.057339494000001</v>
      </c>
      <c r="O4" s="35">
        <v>8.9861712069999999</v>
      </c>
      <c r="P4" s="35">
        <v>9.4071416049999996</v>
      </c>
      <c r="Q4" s="21">
        <v>32.799999999999997</v>
      </c>
      <c r="R4" s="21">
        <v>28.8</v>
      </c>
      <c r="S4" s="21">
        <v>26.4</v>
      </c>
      <c r="T4" s="36">
        <v>0.53100000000000003</v>
      </c>
      <c r="U4" s="36">
        <v>0.53500000000000003</v>
      </c>
      <c r="V4" s="37">
        <v>0.52400000000000002</v>
      </c>
      <c r="W4" s="31">
        <v>14.9</v>
      </c>
      <c r="X4" s="31">
        <v>14.3</v>
      </c>
      <c r="Y4" s="31">
        <v>10.7</v>
      </c>
      <c r="Z4" s="31">
        <v>9.5</v>
      </c>
      <c r="AA4" s="31">
        <v>10.9</v>
      </c>
      <c r="AB4" s="32">
        <v>2</v>
      </c>
      <c r="AC4" s="32">
        <v>2</v>
      </c>
      <c r="AD4" s="32">
        <v>2</v>
      </c>
      <c r="AE4" s="32">
        <v>2</v>
      </c>
      <c r="AF4" s="26">
        <v>2</v>
      </c>
      <c r="AG4" s="33">
        <v>6649401</v>
      </c>
      <c r="AH4" s="33">
        <v>6726219</v>
      </c>
      <c r="AI4" s="33">
        <v>6787846</v>
      </c>
      <c r="AJ4" s="33">
        <v>6848360</v>
      </c>
      <c r="AK4" s="46">
        <v>6903721</v>
      </c>
    </row>
    <row r="5" spans="1:37" ht="15.75" x14ac:dyDescent="0.25">
      <c r="A5" s="42" t="s">
        <v>418</v>
      </c>
      <c r="B5" s="29">
        <v>4567.1999170228773</v>
      </c>
      <c r="C5" s="29">
        <v>4759.548256136598</v>
      </c>
      <c r="D5" s="29">
        <v>4819.2257433608156</v>
      </c>
      <c r="E5" s="29">
        <v>4784.0614324598464</v>
      </c>
      <c r="F5" s="29">
        <v>4959.9938206686584</v>
      </c>
      <c r="G5" s="29">
        <v>17613325.384726275</v>
      </c>
      <c r="H5" s="29">
        <v>22227789.920814376</v>
      </c>
      <c r="I5" s="29">
        <v>28968085.485218819</v>
      </c>
      <c r="J5" s="29">
        <v>27924336.968643136</v>
      </c>
      <c r="K5" s="29">
        <v>29015163.36691609</v>
      </c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1">
        <v>26.1</v>
      </c>
      <c r="X5" s="31">
        <v>26.8</v>
      </c>
      <c r="Y5" s="31">
        <v>22.6</v>
      </c>
      <c r="Z5" s="31">
        <v>22.8</v>
      </c>
      <c r="AA5" s="31">
        <v>17.7</v>
      </c>
      <c r="AB5" s="32">
        <v>27</v>
      </c>
      <c r="AC5" s="32">
        <v>26</v>
      </c>
      <c r="AD5" s="32">
        <v>26</v>
      </c>
      <c r="AE5" s="32">
        <v>24</v>
      </c>
      <c r="AF5" s="26">
        <v>26</v>
      </c>
      <c r="AG5" s="33">
        <v>291252</v>
      </c>
      <c r="AH5" s="33">
        <v>300637</v>
      </c>
      <c r="AI5" s="33">
        <v>307628</v>
      </c>
      <c r="AJ5" s="33">
        <v>313097</v>
      </c>
      <c r="AK5" s="46">
        <v>317398</v>
      </c>
    </row>
    <row r="6" spans="1:37" ht="15.75" x14ac:dyDescent="0.25">
      <c r="A6" s="43" t="s">
        <v>419</v>
      </c>
      <c r="B6" s="34">
        <v>36205.210717097456</v>
      </c>
      <c r="C6" s="34">
        <v>40607.357145230155</v>
      </c>
      <c r="D6" s="34">
        <v>44372.492628878492</v>
      </c>
      <c r="E6" s="34">
        <v>44673.474375050631</v>
      </c>
      <c r="F6" s="34">
        <v>45132.440414469056</v>
      </c>
      <c r="G6" s="34">
        <v>16643733.665404094</v>
      </c>
      <c r="H6" s="34">
        <v>19251447.588344138</v>
      </c>
      <c r="I6" s="34">
        <v>23029949.558181625</v>
      </c>
      <c r="J6" s="34">
        <v>25275498.30710987</v>
      </c>
      <c r="K6" s="34">
        <v>27171919.917530712</v>
      </c>
      <c r="L6" s="35">
        <v>11.343575532999999</v>
      </c>
      <c r="M6" s="35">
        <v>14.226699263</v>
      </c>
      <c r="N6" s="35">
        <v>10.676510534</v>
      </c>
      <c r="O6" s="35">
        <v>9.1204395700000003</v>
      </c>
      <c r="P6" s="35">
        <v>9.4531067449999995</v>
      </c>
      <c r="Q6" s="21">
        <v>42.1</v>
      </c>
      <c r="R6" s="21">
        <v>37.700000000000003</v>
      </c>
      <c r="S6" s="21">
        <v>29.2</v>
      </c>
      <c r="T6" s="36">
        <v>0.502</v>
      </c>
      <c r="U6" s="36">
        <v>0.496</v>
      </c>
      <c r="V6" s="37">
        <v>0.48599999999999999</v>
      </c>
      <c r="W6" s="31">
        <v>14.1</v>
      </c>
      <c r="X6" s="31">
        <v>15.5</v>
      </c>
      <c r="Y6" s="31">
        <v>10.199999999999999</v>
      </c>
      <c r="Z6" s="31">
        <v>12</v>
      </c>
      <c r="AA6" s="31">
        <v>9.5</v>
      </c>
      <c r="AB6" s="32">
        <v>6</v>
      </c>
      <c r="AC6" s="32">
        <v>3</v>
      </c>
      <c r="AD6" s="32">
        <v>3</v>
      </c>
      <c r="AE6" s="32">
        <v>3</v>
      </c>
      <c r="AF6" s="26">
        <v>8</v>
      </c>
      <c r="AG6" s="33">
        <v>2693665</v>
      </c>
      <c r="AH6" s="33">
        <v>2741002</v>
      </c>
      <c r="AI6" s="33">
        <v>2774958</v>
      </c>
      <c r="AJ6" s="33">
        <v>2803565</v>
      </c>
      <c r="AK6" s="46">
        <v>2827124</v>
      </c>
    </row>
    <row r="7" spans="1:37" ht="15.75" x14ac:dyDescent="0.25">
      <c r="A7" s="42" t="s">
        <v>420</v>
      </c>
      <c r="B7" s="34">
        <v>213987.55277946152</v>
      </c>
      <c r="C7" s="34">
        <v>237631.21138542914</v>
      </c>
      <c r="D7" s="34">
        <v>260391.43942706619</v>
      </c>
      <c r="E7" s="34">
        <v>261972.88307518672</v>
      </c>
      <c r="F7" s="34">
        <v>267051.36781428818</v>
      </c>
      <c r="G7" s="34">
        <v>33722459.268815249</v>
      </c>
      <c r="H7" s="34">
        <v>38767030.877971575</v>
      </c>
      <c r="I7" s="34">
        <v>45998007.493877046</v>
      </c>
      <c r="J7" s="34">
        <v>50009325.499689199</v>
      </c>
      <c r="K7" s="34">
        <v>54246664.420071185</v>
      </c>
      <c r="L7" s="30"/>
      <c r="M7" s="30"/>
      <c r="N7" s="30"/>
      <c r="O7" s="30"/>
      <c r="P7" s="30"/>
      <c r="Q7" s="21">
        <v>30.5</v>
      </c>
      <c r="R7" s="21">
        <v>28.1</v>
      </c>
      <c r="S7" s="21">
        <v>23.7</v>
      </c>
      <c r="T7" s="36">
        <v>0.56499999999999995</v>
      </c>
      <c r="U7" s="36">
        <v>0.54900000000000004</v>
      </c>
      <c r="V7" s="37">
        <v>0.53</v>
      </c>
      <c r="W7" s="31">
        <v>7.5</v>
      </c>
      <c r="X7" s="31">
        <v>5.7</v>
      </c>
      <c r="Y7" s="31">
        <v>3.8</v>
      </c>
      <c r="Z7" s="31">
        <v>3.6</v>
      </c>
      <c r="AA7" s="31">
        <v>5.4</v>
      </c>
      <c r="AB7" s="32">
        <v>1</v>
      </c>
      <c r="AC7" s="32">
        <v>1</v>
      </c>
      <c r="AD7" s="32">
        <v>1</v>
      </c>
      <c r="AE7" s="32">
        <v>1</v>
      </c>
      <c r="AF7" s="26">
        <v>1</v>
      </c>
      <c r="AG7" s="33">
        <v>7732161</v>
      </c>
      <c r="AH7" s="33">
        <v>7823334</v>
      </c>
      <c r="AI7" s="33">
        <v>7873316</v>
      </c>
      <c r="AJ7" s="33">
        <v>7907281</v>
      </c>
      <c r="AK7" s="46">
        <v>7929539</v>
      </c>
    </row>
    <row r="8" spans="1:37" ht="15.75" x14ac:dyDescent="0.25">
      <c r="A8" s="43" t="s">
        <v>421</v>
      </c>
      <c r="B8" s="19">
        <v>28575.604208203164</v>
      </c>
      <c r="C8" s="19">
        <v>32660.56437121709</v>
      </c>
      <c r="D8" s="19">
        <v>35424.403711212573</v>
      </c>
      <c r="E8" s="19">
        <v>35647.24251460941</v>
      </c>
      <c r="F8" s="19">
        <v>35907.289675495289</v>
      </c>
      <c r="G8" s="19">
        <v>15961852.712552767</v>
      </c>
      <c r="H8" s="19">
        <v>19143997.356876146</v>
      </c>
      <c r="I8" s="19">
        <v>23051963.697860681</v>
      </c>
      <c r="J8" s="19">
        <v>25330352.296371944</v>
      </c>
      <c r="K8" s="19">
        <v>27018869.107448891</v>
      </c>
      <c r="L8" s="35">
        <v>9.8220062810000002</v>
      </c>
      <c r="M8" s="35">
        <v>12.825802723000001</v>
      </c>
      <c r="N8" s="35">
        <v>10.782777433</v>
      </c>
      <c r="O8" s="35">
        <v>8.7616947809999992</v>
      </c>
      <c r="P8" s="35">
        <v>10.473691615</v>
      </c>
      <c r="Q8" s="21">
        <v>54</v>
      </c>
      <c r="R8" s="21">
        <v>56</v>
      </c>
      <c r="S8" s="21">
        <v>46.6</v>
      </c>
      <c r="T8" s="36">
        <v>0.52800000000000002</v>
      </c>
      <c r="U8" s="36">
        <v>0.55900000000000005</v>
      </c>
      <c r="V8" s="37">
        <v>0.51200000000000001</v>
      </c>
      <c r="W8" s="31">
        <v>28.1</v>
      </c>
      <c r="X8" s="31">
        <v>26.8</v>
      </c>
      <c r="Y8" s="31">
        <v>19.399999999999999</v>
      </c>
      <c r="Z8" s="31">
        <v>18.399999999999999</v>
      </c>
      <c r="AA8" s="31">
        <v>15.6</v>
      </c>
      <c r="AB8" s="32">
        <v>11</v>
      </c>
      <c r="AC8" s="32">
        <v>12</v>
      </c>
      <c r="AD8" s="32">
        <v>12</v>
      </c>
      <c r="AE8" s="32">
        <v>11</v>
      </c>
      <c r="AF8" s="26">
        <v>11</v>
      </c>
      <c r="AG8" s="33">
        <v>2169294</v>
      </c>
      <c r="AH8" s="33">
        <v>2202773</v>
      </c>
      <c r="AI8" s="33">
        <v>2227184</v>
      </c>
      <c r="AJ8" s="33">
        <v>2247283</v>
      </c>
      <c r="AK8" s="46">
        <v>2264523</v>
      </c>
    </row>
    <row r="9" spans="1:37" ht="15.75" x14ac:dyDescent="0.25">
      <c r="A9" s="44" t="s">
        <v>23</v>
      </c>
      <c r="B9" s="34">
        <v>21491.478508698481</v>
      </c>
      <c r="C9" s="34">
        <v>23270.350905332649</v>
      </c>
      <c r="D9" s="34">
        <v>24835.37666562782</v>
      </c>
      <c r="E9" s="34">
        <v>24919.727227986408</v>
      </c>
      <c r="F9" s="34">
        <v>25177.136525722381</v>
      </c>
      <c r="G9" s="34">
        <v>21061238.629707467</v>
      </c>
      <c r="H9" s="34">
        <v>24516384.990587588</v>
      </c>
      <c r="I9" s="34">
        <v>30679467.886540789</v>
      </c>
      <c r="J9" s="34">
        <v>32550983.375071935</v>
      </c>
      <c r="K9" s="34">
        <v>34476428.650504656</v>
      </c>
      <c r="L9" s="35">
        <v>11.91126495</v>
      </c>
      <c r="M9" s="35">
        <v>12.006195023</v>
      </c>
      <c r="N9" s="35">
        <v>10.657177337</v>
      </c>
      <c r="O9" s="35">
        <v>9.899819742</v>
      </c>
      <c r="P9" s="35">
        <v>8.6725650519999995</v>
      </c>
      <c r="Q9" s="21">
        <v>41.8</v>
      </c>
      <c r="R9" s="21">
        <v>36.299999999999997</v>
      </c>
      <c r="S9" s="21">
        <v>31.1</v>
      </c>
      <c r="T9" s="36">
        <v>0.51600000000000001</v>
      </c>
      <c r="U9" s="36">
        <v>0.52900000000000003</v>
      </c>
      <c r="V9" s="37">
        <v>0.498</v>
      </c>
      <c r="W9" s="31">
        <v>11.7</v>
      </c>
      <c r="X9" s="31">
        <v>10.9</v>
      </c>
      <c r="Y9" s="31">
        <v>9.6</v>
      </c>
      <c r="Z9" s="31">
        <v>9.9</v>
      </c>
      <c r="AA9" s="31">
        <v>6.9</v>
      </c>
      <c r="AB9" s="32">
        <v>9</v>
      </c>
      <c r="AC9" s="32">
        <v>10</v>
      </c>
      <c r="AD9" s="32">
        <v>10</v>
      </c>
      <c r="AE9" s="32">
        <v>10</v>
      </c>
      <c r="AF9" s="32">
        <v>10</v>
      </c>
      <c r="AG9" s="33">
        <v>1257289</v>
      </c>
      <c r="AH9" s="33">
        <v>1271639</v>
      </c>
      <c r="AI9" s="33">
        <v>1285035</v>
      </c>
      <c r="AJ9" s="33">
        <v>1298800</v>
      </c>
      <c r="AK9" s="46">
        <v>1311983</v>
      </c>
    </row>
    <row r="10" spans="1:37" ht="15.75" x14ac:dyDescent="0.25">
      <c r="A10" s="43" t="s">
        <v>33</v>
      </c>
      <c r="B10" s="19">
        <v>13088.445089912646</v>
      </c>
      <c r="C10" s="19">
        <v>14454.188242439237</v>
      </c>
      <c r="D10" s="19">
        <v>15325.480229424333</v>
      </c>
      <c r="E10" s="19">
        <v>15401.145917755233</v>
      </c>
      <c r="F10" s="19">
        <v>15746.930873762623</v>
      </c>
      <c r="G10" s="19">
        <v>16324192.320863642</v>
      </c>
      <c r="H10" s="19">
        <v>19049112.834202845</v>
      </c>
      <c r="I10" s="19">
        <v>23084885.121586356</v>
      </c>
      <c r="J10" s="19">
        <v>25197613.858404145</v>
      </c>
      <c r="K10" s="19">
        <v>27550640.496494196</v>
      </c>
      <c r="L10" s="35">
        <v>16.852226594000001</v>
      </c>
      <c r="M10" s="35">
        <v>12.067780494000001</v>
      </c>
      <c r="N10" s="35">
        <v>10.929253040000001</v>
      </c>
      <c r="O10" s="35">
        <v>9.7710515919999992</v>
      </c>
      <c r="P10" s="35">
        <v>9.374001195</v>
      </c>
      <c r="Q10" s="21">
        <v>29.5</v>
      </c>
      <c r="R10" s="21">
        <v>24.5</v>
      </c>
      <c r="S10" s="21">
        <v>22.3</v>
      </c>
      <c r="T10" s="36">
        <v>0.50900000000000001</v>
      </c>
      <c r="U10" s="36">
        <v>0.48799999999999999</v>
      </c>
      <c r="V10" s="37">
        <v>0.49099999999999999</v>
      </c>
      <c r="W10" s="31">
        <v>14.5</v>
      </c>
      <c r="X10" s="31">
        <v>11.5</v>
      </c>
      <c r="Y10" s="31">
        <v>10.5</v>
      </c>
      <c r="Z10" s="31">
        <v>7.4</v>
      </c>
      <c r="AA10" s="31">
        <v>9.1999999999999993</v>
      </c>
      <c r="AB10" s="32">
        <v>7</v>
      </c>
      <c r="AC10" s="32">
        <v>7</v>
      </c>
      <c r="AD10" s="32">
        <v>7</v>
      </c>
      <c r="AE10" s="32">
        <v>7</v>
      </c>
      <c r="AF10" s="26">
        <v>5</v>
      </c>
      <c r="AG10" s="33">
        <v>1021435</v>
      </c>
      <c r="AH10" s="33">
        <v>1028635</v>
      </c>
      <c r="AI10" s="33">
        <v>1034151</v>
      </c>
      <c r="AJ10" s="33">
        <v>1040284</v>
      </c>
      <c r="AK10" s="46">
        <v>1046110</v>
      </c>
    </row>
    <row r="11" spans="1:37" ht="15.75" x14ac:dyDescent="0.25">
      <c r="A11" s="44" t="s">
        <v>422</v>
      </c>
      <c r="B11" s="34">
        <v>3378.1825420830805</v>
      </c>
      <c r="C11" s="34">
        <v>3662.6859105758272</v>
      </c>
      <c r="D11" s="34">
        <v>3764.6224169034481</v>
      </c>
      <c r="E11" s="34">
        <v>3815.5930537957329</v>
      </c>
      <c r="F11" s="34">
        <v>3896.2083901751707</v>
      </c>
      <c r="G11" s="34">
        <v>10081618.890037138</v>
      </c>
      <c r="H11" s="34">
        <v>11424110.678548105</v>
      </c>
      <c r="I11" s="34">
        <v>13242793.965702783</v>
      </c>
      <c r="J11" s="34">
        <v>14705069.272917612</v>
      </c>
      <c r="K11" s="34">
        <v>15954301.848419806</v>
      </c>
      <c r="L11" s="35">
        <v>18.514661567000001</v>
      </c>
      <c r="M11" s="35">
        <v>12.601570493000001</v>
      </c>
      <c r="N11" s="35">
        <v>11.18665077</v>
      </c>
      <c r="O11" s="35">
        <v>10.977512805</v>
      </c>
      <c r="P11" s="35">
        <v>13.890097124</v>
      </c>
      <c r="Q11" s="21">
        <v>47.7</v>
      </c>
      <c r="R11" s="21">
        <v>44.5</v>
      </c>
      <c r="S11" s="21">
        <v>36.799999999999997</v>
      </c>
      <c r="T11" s="36">
        <v>0.48299999999999998</v>
      </c>
      <c r="U11" s="36">
        <v>0.48399999999999999</v>
      </c>
      <c r="V11" s="37">
        <v>0.442</v>
      </c>
      <c r="W11" s="31">
        <v>26.1</v>
      </c>
      <c r="X11" s="31">
        <v>23.1</v>
      </c>
      <c r="Y11" s="31">
        <v>19.600000000000001</v>
      </c>
      <c r="Z11" s="31">
        <v>17.2</v>
      </c>
      <c r="AA11" s="31">
        <v>13.9</v>
      </c>
      <c r="AB11" s="32">
        <v>24</v>
      </c>
      <c r="AC11" s="32">
        <v>24</v>
      </c>
      <c r="AD11" s="32">
        <v>24</v>
      </c>
      <c r="AE11" s="32">
        <v>25</v>
      </c>
      <c r="AF11" s="26">
        <v>23</v>
      </c>
      <c r="AG11" s="33">
        <v>413688</v>
      </c>
      <c r="AH11" s="33">
        <v>418267</v>
      </c>
      <c r="AI11" s="33">
        <v>421797</v>
      </c>
      <c r="AJ11" s="33">
        <v>425053</v>
      </c>
      <c r="AK11" s="46">
        <v>428162</v>
      </c>
    </row>
    <row r="12" spans="1:37" ht="15.75" x14ac:dyDescent="0.25">
      <c r="A12" s="43" t="s">
        <v>423</v>
      </c>
      <c r="B12" s="34">
        <v>12236.300977512723</v>
      </c>
      <c r="C12" s="34">
        <v>12550.346898558799</v>
      </c>
      <c r="D12" s="34">
        <v>12870.833421935311</v>
      </c>
      <c r="E12" s="34">
        <v>13038.024028222979</v>
      </c>
      <c r="F12" s="34">
        <v>13130.556138201273</v>
      </c>
      <c r="G12" s="34">
        <v>28453986.181965671</v>
      </c>
      <c r="H12" s="34">
        <v>37459375.82448063</v>
      </c>
      <c r="I12" s="34">
        <v>50268871.655014589</v>
      </c>
      <c r="J12" s="34">
        <v>49344971.446668878</v>
      </c>
      <c r="K12" s="34">
        <v>49638823.179874189</v>
      </c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1">
        <v>19.600000000000001</v>
      </c>
      <c r="X12" s="31">
        <v>19.5</v>
      </c>
      <c r="Y12" s="31">
        <v>13.3</v>
      </c>
      <c r="Z12" s="31">
        <v>15</v>
      </c>
      <c r="AA12" s="31">
        <v>11.3</v>
      </c>
      <c r="AB12" s="32">
        <v>18</v>
      </c>
      <c r="AC12" s="32">
        <v>16</v>
      </c>
      <c r="AD12" s="32">
        <v>19</v>
      </c>
      <c r="AE12" s="32">
        <v>19</v>
      </c>
      <c r="AF12" s="26">
        <v>18</v>
      </c>
      <c r="AG12" s="33">
        <v>443532</v>
      </c>
      <c r="AH12" s="33">
        <v>452098</v>
      </c>
      <c r="AI12" s="33">
        <v>459973</v>
      </c>
      <c r="AJ12" s="33">
        <v>467775</v>
      </c>
      <c r="AK12" s="46">
        <v>475144</v>
      </c>
    </row>
    <row r="13" spans="1:37" ht="15.75" x14ac:dyDescent="0.25">
      <c r="A13" s="42" t="s">
        <v>424</v>
      </c>
      <c r="B13" s="34">
        <v>14599.250640656837</v>
      </c>
      <c r="C13" s="34">
        <v>16097.326233148051</v>
      </c>
      <c r="D13" s="34">
        <v>16946.403871795344</v>
      </c>
      <c r="E13" s="34">
        <v>17012.028145833985</v>
      </c>
      <c r="F13" s="34">
        <v>17418.488066932117</v>
      </c>
      <c r="G13" s="34">
        <v>12064278.480568713</v>
      </c>
      <c r="H13" s="34">
        <v>14062604.671645094</v>
      </c>
      <c r="I13" s="34">
        <v>16983608.028482422</v>
      </c>
      <c r="J13" s="34">
        <v>18315929.603459816</v>
      </c>
      <c r="K13" s="34">
        <v>19754042.609203409</v>
      </c>
      <c r="L13" s="35">
        <v>14.416269309</v>
      </c>
      <c r="M13" s="35">
        <v>12.740363402</v>
      </c>
      <c r="N13" s="35">
        <v>8.7020462219999999</v>
      </c>
      <c r="O13" s="35">
        <v>7.5364243210000001</v>
      </c>
      <c r="P13" s="35">
        <v>8.2081691899999996</v>
      </c>
      <c r="Q13" s="21">
        <v>46.7</v>
      </c>
      <c r="R13" s="21">
        <v>41.7</v>
      </c>
      <c r="S13" s="21">
        <v>45.3</v>
      </c>
      <c r="T13" s="36">
        <v>0.52500000000000002</v>
      </c>
      <c r="U13" s="36">
        <v>0.51200000000000001</v>
      </c>
      <c r="V13" s="37">
        <v>0.51200000000000001</v>
      </c>
      <c r="W13" s="31">
        <v>28.2</v>
      </c>
      <c r="X13" s="31">
        <v>18.600000000000001</v>
      </c>
      <c r="Y13" s="31">
        <v>18.3</v>
      </c>
      <c r="Z13" s="31">
        <v>15.8</v>
      </c>
      <c r="AA13" s="31">
        <v>14</v>
      </c>
      <c r="AB13" s="32">
        <v>20</v>
      </c>
      <c r="AC13" s="32">
        <v>22</v>
      </c>
      <c r="AD13" s="32">
        <v>18</v>
      </c>
      <c r="AE13" s="32">
        <v>18</v>
      </c>
      <c r="AF13" s="26">
        <v>17</v>
      </c>
      <c r="AG13" s="33">
        <v>1508061</v>
      </c>
      <c r="AH13" s="33">
        <v>1525284</v>
      </c>
      <c r="AI13" s="33">
        <v>1541265</v>
      </c>
      <c r="AJ13" s="33">
        <v>1558045</v>
      </c>
      <c r="AK13" s="46">
        <v>1574506</v>
      </c>
    </row>
    <row r="14" spans="1:37" ht="15.75" x14ac:dyDescent="0.25">
      <c r="A14" s="43" t="s">
        <v>425</v>
      </c>
      <c r="B14" s="19">
        <v>14259.456851457153</v>
      </c>
      <c r="C14" s="19">
        <v>14778.482104742114</v>
      </c>
      <c r="D14" s="19">
        <v>15594.363043981533</v>
      </c>
      <c r="E14" s="19">
        <v>15890.31818585795</v>
      </c>
      <c r="F14" s="19">
        <v>15193.05583498387</v>
      </c>
      <c r="G14" s="19">
        <v>13719293.299854781</v>
      </c>
      <c r="H14" s="19">
        <v>17627286.156564679</v>
      </c>
      <c r="I14" s="19">
        <v>29005212.134979796</v>
      </c>
      <c r="J14" s="19">
        <v>25350438.495913416</v>
      </c>
      <c r="K14" s="19">
        <v>22280535.619135331</v>
      </c>
      <c r="L14" s="35">
        <v>15.764692231</v>
      </c>
      <c r="M14" s="35">
        <v>16.122763709000001</v>
      </c>
      <c r="N14" s="35">
        <v>15.851542703</v>
      </c>
      <c r="O14" s="35">
        <v>11.997642242</v>
      </c>
      <c r="P14" s="35">
        <v>11.323757911</v>
      </c>
      <c r="Q14" s="21">
        <v>54.6</v>
      </c>
      <c r="R14" s="21">
        <v>51.9</v>
      </c>
      <c r="S14" s="21">
        <v>52.2</v>
      </c>
      <c r="T14" s="36">
        <v>0.49199999999999999</v>
      </c>
      <c r="U14" s="36">
        <v>0.48699999999999999</v>
      </c>
      <c r="V14" s="37">
        <v>0.50900000000000001</v>
      </c>
      <c r="W14" s="31">
        <v>27.2</v>
      </c>
      <c r="X14" s="31">
        <v>25.3</v>
      </c>
      <c r="Y14" s="31">
        <v>19.100000000000001</v>
      </c>
      <c r="Z14" s="31">
        <v>17.7</v>
      </c>
      <c r="AA14" s="31">
        <v>13.4</v>
      </c>
      <c r="AB14" s="32">
        <v>21</v>
      </c>
      <c r="AC14" s="32">
        <v>19</v>
      </c>
      <c r="AD14" s="32">
        <v>22</v>
      </c>
      <c r="AE14" s="32">
        <v>21</v>
      </c>
      <c r="AF14" s="26">
        <v>21</v>
      </c>
      <c r="AG14" s="33">
        <v>1290919</v>
      </c>
      <c r="AH14" s="33">
        <v>1322378</v>
      </c>
      <c r="AI14" s="33">
        <v>1349162</v>
      </c>
      <c r="AJ14" s="33">
        <v>1373581</v>
      </c>
      <c r="AK14" s="46">
        <v>1395486</v>
      </c>
    </row>
    <row r="15" spans="1:37" ht="15.75" x14ac:dyDescent="0.25">
      <c r="A15" s="44" t="s">
        <v>426</v>
      </c>
      <c r="B15" s="34">
        <v>3281.2777264913275</v>
      </c>
      <c r="C15" s="34">
        <v>3546.1677732149274</v>
      </c>
      <c r="D15" s="34">
        <v>3624.0748396385557</v>
      </c>
      <c r="E15" s="34">
        <v>3713.9705797434131</v>
      </c>
      <c r="F15" s="34">
        <v>3769.7102564905877</v>
      </c>
      <c r="G15" s="34">
        <v>7982756.5578801157</v>
      </c>
      <c r="H15" s="34">
        <v>9058016.4501272943</v>
      </c>
      <c r="I15" s="34">
        <v>10449188.210682331</v>
      </c>
      <c r="J15" s="34">
        <v>11579374.908141168</v>
      </c>
      <c r="K15" s="34">
        <v>12522248.125926061</v>
      </c>
      <c r="L15" s="35">
        <v>10.763972509</v>
      </c>
      <c r="M15" s="35">
        <v>12.425640443000001</v>
      </c>
      <c r="N15" s="35">
        <v>12.531624309</v>
      </c>
      <c r="O15" s="35">
        <v>18.163544030000001</v>
      </c>
      <c r="P15" s="35">
        <v>15.922126713000001</v>
      </c>
      <c r="Q15" s="21">
        <v>65.099999999999994</v>
      </c>
      <c r="R15" s="21">
        <v>66.7</v>
      </c>
      <c r="S15" s="21">
        <v>67.7</v>
      </c>
      <c r="T15" s="37">
        <v>0.57999999999999996</v>
      </c>
      <c r="U15" s="36">
        <v>0.58799999999999997</v>
      </c>
      <c r="V15" s="37">
        <v>0.58899999999999997</v>
      </c>
      <c r="W15" s="31">
        <v>49</v>
      </c>
      <c r="X15" s="31">
        <v>36</v>
      </c>
      <c r="Y15" s="31">
        <v>36.799999999999997</v>
      </c>
      <c r="Z15" s="31">
        <v>37.4</v>
      </c>
      <c r="AA15" s="31">
        <v>33.9</v>
      </c>
      <c r="AB15" s="32">
        <v>31</v>
      </c>
      <c r="AC15" s="32">
        <v>31</v>
      </c>
      <c r="AD15" s="32">
        <v>30</v>
      </c>
      <c r="AE15" s="32">
        <v>29</v>
      </c>
      <c r="AF15" s="26">
        <v>28</v>
      </c>
      <c r="AG15" s="33">
        <v>562387</v>
      </c>
      <c r="AH15" s="33">
        <v>573848</v>
      </c>
      <c r="AI15" s="33">
        <v>584521</v>
      </c>
      <c r="AJ15" s="33">
        <v>595138</v>
      </c>
      <c r="AK15" s="46">
        <v>605478</v>
      </c>
    </row>
    <row r="16" spans="1:37" ht="15.75" x14ac:dyDescent="0.25">
      <c r="A16" s="41" t="s">
        <v>427</v>
      </c>
      <c r="B16" s="34">
        <v>13891.505196769982</v>
      </c>
      <c r="C16" s="34">
        <v>15431.429349159753</v>
      </c>
      <c r="D16" s="34">
        <v>16488.358344392895</v>
      </c>
      <c r="E16" s="34">
        <v>16707.527697314483</v>
      </c>
      <c r="F16" s="34">
        <v>17032.132414305022</v>
      </c>
      <c r="G16" s="34">
        <v>9710754.9239588715</v>
      </c>
      <c r="H16" s="34">
        <v>11326275.404100636</v>
      </c>
      <c r="I16" s="34">
        <v>13686115.416907264</v>
      </c>
      <c r="J16" s="34">
        <v>14905026.641474286</v>
      </c>
      <c r="K16" s="34">
        <v>16165055.858945046</v>
      </c>
      <c r="L16" s="35">
        <v>14.603296813</v>
      </c>
      <c r="M16" s="35">
        <v>10.496556416000001</v>
      </c>
      <c r="N16" s="35">
        <v>12.476431867000001</v>
      </c>
      <c r="O16" s="35">
        <v>12.143904577000001</v>
      </c>
      <c r="P16" s="35">
        <v>10.944700213000001</v>
      </c>
      <c r="Q16" s="21">
        <v>55.9</v>
      </c>
      <c r="R16" s="21">
        <v>54</v>
      </c>
      <c r="S16" s="21">
        <v>50.4</v>
      </c>
      <c r="T16" s="36">
        <v>0.51600000000000001</v>
      </c>
      <c r="U16" s="36">
        <v>0.503</v>
      </c>
      <c r="V16" s="37">
        <v>0.51100000000000001</v>
      </c>
      <c r="W16" s="31">
        <v>31.8</v>
      </c>
      <c r="X16" s="31">
        <v>26.9</v>
      </c>
      <c r="Y16" s="31">
        <v>26.9</v>
      </c>
      <c r="Z16" s="31">
        <v>21.4</v>
      </c>
      <c r="AA16" s="31">
        <v>25.7</v>
      </c>
      <c r="AB16" s="32">
        <v>22</v>
      </c>
      <c r="AC16" s="32">
        <v>20</v>
      </c>
      <c r="AD16" s="32">
        <v>21</v>
      </c>
      <c r="AE16" s="32">
        <v>22</v>
      </c>
      <c r="AF16" s="26">
        <v>22</v>
      </c>
      <c r="AG16" s="33">
        <v>1842585</v>
      </c>
      <c r="AH16" s="33">
        <v>1864336</v>
      </c>
      <c r="AI16" s="33">
        <v>1882211</v>
      </c>
      <c r="AJ16" s="33">
        <v>1898911</v>
      </c>
      <c r="AK16" s="46">
        <v>1914778</v>
      </c>
    </row>
    <row r="17" spans="1:37" ht="15.75" x14ac:dyDescent="0.25">
      <c r="A17" s="42" t="s">
        <v>428</v>
      </c>
      <c r="B17" s="19">
        <v>49566.518834781542</v>
      </c>
      <c r="C17" s="19">
        <v>55181.840429119293</v>
      </c>
      <c r="D17" s="19">
        <v>59558.246381004326</v>
      </c>
      <c r="E17" s="19">
        <v>59647.962449070743</v>
      </c>
      <c r="F17" s="19">
        <v>60506.329392063584</v>
      </c>
      <c r="G17" s="19">
        <v>19477672.564714849</v>
      </c>
      <c r="H17" s="19">
        <v>22700166.211531483</v>
      </c>
      <c r="I17" s="19">
        <v>27451391.48014139</v>
      </c>
      <c r="J17" s="19">
        <v>29008811.891339477</v>
      </c>
      <c r="K17" s="19">
        <v>30451229.667039353</v>
      </c>
      <c r="L17" s="35">
        <v>17.743457829</v>
      </c>
      <c r="M17" s="35">
        <v>17.420262450999999</v>
      </c>
      <c r="N17" s="35">
        <v>12.711628636</v>
      </c>
      <c r="O17" s="35">
        <v>10.809170447</v>
      </c>
      <c r="P17" s="35">
        <v>10.564132917</v>
      </c>
      <c r="Q17" s="21">
        <v>27</v>
      </c>
      <c r="R17" s="21">
        <v>22.7</v>
      </c>
      <c r="S17" s="21">
        <v>21.5</v>
      </c>
      <c r="T17" s="36">
        <v>0.52300000000000002</v>
      </c>
      <c r="U17" s="36">
        <v>0.49399999999999999</v>
      </c>
      <c r="V17" s="37">
        <v>0.50600000000000001</v>
      </c>
      <c r="W17" s="31">
        <v>11.4</v>
      </c>
      <c r="X17" s="31">
        <v>9.4</v>
      </c>
      <c r="Y17" s="31">
        <v>7.3</v>
      </c>
      <c r="Z17" s="31">
        <v>7.6</v>
      </c>
      <c r="AA17" s="31">
        <v>7.4</v>
      </c>
      <c r="AB17" s="32">
        <v>8</v>
      </c>
      <c r="AC17" s="32">
        <v>9</v>
      </c>
      <c r="AD17" s="32">
        <v>9</v>
      </c>
      <c r="AE17" s="32">
        <v>9</v>
      </c>
      <c r="AF17" s="26">
        <v>7</v>
      </c>
      <c r="AG17" s="33">
        <v>3147954</v>
      </c>
      <c r="AH17" s="33">
        <v>3233689</v>
      </c>
      <c r="AI17" s="33">
        <v>3334637</v>
      </c>
      <c r="AJ17" s="33">
        <v>3445327</v>
      </c>
      <c r="AK17" s="46">
        <v>3553293</v>
      </c>
    </row>
    <row r="18" spans="1:37" ht="15.75" x14ac:dyDescent="0.25">
      <c r="A18" s="41" t="s">
        <v>429</v>
      </c>
      <c r="B18" s="34">
        <v>293.94807402702315</v>
      </c>
      <c r="C18" s="34">
        <v>333.27735377665692</v>
      </c>
      <c r="D18" s="34">
        <v>336.58661027581314</v>
      </c>
      <c r="E18" s="34">
        <v>339.53932902558125</v>
      </c>
      <c r="F18" s="34">
        <v>340.66665968126017</v>
      </c>
      <c r="G18" s="34">
        <v>7194948.8228471987</v>
      </c>
      <c r="H18" s="34">
        <v>8282714.9006221564</v>
      </c>
      <c r="I18" s="34">
        <v>9087623.7480056547</v>
      </c>
      <c r="J18" s="34">
        <v>9809247.1152984723</v>
      </c>
      <c r="K18" s="34">
        <v>10450974.976497294</v>
      </c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1">
        <v>65.900000000000006</v>
      </c>
      <c r="X18" s="31">
        <v>57.3</v>
      </c>
      <c r="Y18" s="31">
        <v>46.5</v>
      </c>
      <c r="Z18" s="31">
        <v>52.1</v>
      </c>
      <c r="AA18" s="31">
        <v>49</v>
      </c>
      <c r="AB18" s="32">
        <v>32</v>
      </c>
      <c r="AC18" s="32">
        <v>30</v>
      </c>
      <c r="AD18" s="32">
        <v>31</v>
      </c>
      <c r="AE18" s="32">
        <v>32</v>
      </c>
      <c r="AF18" s="26">
        <v>31</v>
      </c>
      <c r="AG18" s="33">
        <v>52006</v>
      </c>
      <c r="AH18" s="33">
        <v>53583</v>
      </c>
      <c r="AI18" s="33">
        <v>55091</v>
      </c>
      <c r="AJ18" s="33">
        <v>56551</v>
      </c>
      <c r="AK18" s="46">
        <v>57934</v>
      </c>
    </row>
    <row r="19" spans="1:37" ht="15.75" x14ac:dyDescent="0.25">
      <c r="A19" s="42" t="s">
        <v>430</v>
      </c>
      <c r="B19" s="34">
        <v>687.00337910892188</v>
      </c>
      <c r="C19" s="34">
        <v>746.56385038701444</v>
      </c>
      <c r="D19" s="34">
        <v>778.22728480044736</v>
      </c>
      <c r="E19" s="34">
        <v>787.23552026910704</v>
      </c>
      <c r="F19" s="34">
        <v>810.50841621063148</v>
      </c>
      <c r="G19" s="34">
        <v>9277497.2656629663</v>
      </c>
      <c r="H19" s="34">
        <v>10411105.938078331</v>
      </c>
      <c r="I19" s="34">
        <v>12127913.065888012</v>
      </c>
      <c r="J19" s="34">
        <v>12968611.730347324</v>
      </c>
      <c r="K19" s="34">
        <v>13895169.359744055</v>
      </c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1">
        <v>34.6</v>
      </c>
      <c r="X19" s="31">
        <v>31</v>
      </c>
      <c r="Y19" s="31">
        <v>26.9</v>
      </c>
      <c r="Z19" s="31">
        <v>30.6</v>
      </c>
      <c r="AA19" s="31">
        <v>21.3</v>
      </c>
      <c r="AB19" s="32">
        <v>28</v>
      </c>
      <c r="AC19" s="32">
        <v>28</v>
      </c>
      <c r="AD19" s="32">
        <v>28</v>
      </c>
      <c r="AE19" s="32">
        <v>27</v>
      </c>
      <c r="AF19" s="26">
        <v>27</v>
      </c>
      <c r="AG19" s="33">
        <v>89050</v>
      </c>
      <c r="AH19" s="33">
        <v>91717</v>
      </c>
      <c r="AI19" s="33">
        <v>94625</v>
      </c>
      <c r="AJ19" s="33">
        <v>97616</v>
      </c>
      <c r="AK19" s="46">
        <v>100497</v>
      </c>
    </row>
    <row r="20" spans="1:37" ht="15.75" x14ac:dyDescent="0.25">
      <c r="A20" s="43" t="s">
        <v>431</v>
      </c>
      <c r="B20" s="34">
        <v>13044.006575657784</v>
      </c>
      <c r="C20" s="34">
        <v>14164.392160162924</v>
      </c>
      <c r="D20" s="34">
        <v>14807.150423974703</v>
      </c>
      <c r="E20" s="34">
        <v>14903.943704209316</v>
      </c>
      <c r="F20" s="34">
        <v>15353.680484528884</v>
      </c>
      <c r="G20" s="34">
        <v>14647529.945126714</v>
      </c>
      <c r="H20" s="34">
        <v>17137226.038960923</v>
      </c>
      <c r="I20" s="34">
        <v>21036774.823329192</v>
      </c>
      <c r="J20" s="34">
        <v>22515138.755352773</v>
      </c>
      <c r="K20" s="34">
        <v>24583303.502483279</v>
      </c>
      <c r="L20" s="35">
        <v>16.585110921999998</v>
      </c>
      <c r="M20" s="35">
        <v>12.254104628</v>
      </c>
      <c r="N20" s="35">
        <v>8.3750912579999994</v>
      </c>
      <c r="O20" s="35">
        <v>8.0719248930000003</v>
      </c>
      <c r="P20" s="35">
        <v>8.3751251599999996</v>
      </c>
      <c r="Q20" s="21">
        <v>47.1</v>
      </c>
      <c r="R20" s="21">
        <v>40.9</v>
      </c>
      <c r="S20" s="21">
        <v>37.299999999999997</v>
      </c>
      <c r="T20" s="36">
        <v>0.495</v>
      </c>
      <c r="U20" s="36">
        <v>0.47699999999999998</v>
      </c>
      <c r="V20" s="37">
        <v>0.47199999999999998</v>
      </c>
      <c r="W20" s="31">
        <v>23.4</v>
      </c>
      <c r="X20" s="31">
        <v>17.5</v>
      </c>
      <c r="Y20" s="31">
        <v>13.3</v>
      </c>
      <c r="Z20" s="31">
        <v>11.9</v>
      </c>
      <c r="AA20" s="31">
        <v>10.9</v>
      </c>
      <c r="AB20" s="32">
        <v>13</v>
      </c>
      <c r="AC20" s="32">
        <v>14</v>
      </c>
      <c r="AD20" s="32">
        <v>13</v>
      </c>
      <c r="AE20" s="32">
        <v>12</v>
      </c>
      <c r="AF20" s="26">
        <v>15</v>
      </c>
      <c r="AG20" s="33">
        <v>1136911</v>
      </c>
      <c r="AH20" s="33">
        <v>1151211</v>
      </c>
      <c r="AI20" s="33">
        <v>1164463</v>
      </c>
      <c r="AJ20" s="33">
        <v>1178453</v>
      </c>
      <c r="AK20" s="46">
        <v>1192273</v>
      </c>
    </row>
    <row r="21" spans="1:37" ht="15.75" x14ac:dyDescent="0.25">
      <c r="A21" s="42" t="s">
        <v>432</v>
      </c>
      <c r="B21" s="34">
        <v>6844.7565687644228</v>
      </c>
      <c r="C21" s="34">
        <v>8766.4544753070186</v>
      </c>
      <c r="D21" s="34">
        <v>8516.0251933714535</v>
      </c>
      <c r="E21" s="34">
        <v>8632.673011955696</v>
      </c>
      <c r="F21" s="34">
        <v>8221.4981962948059</v>
      </c>
      <c r="G21" s="34">
        <v>9033402.6134977099</v>
      </c>
      <c r="H21" s="34">
        <v>14573380.014411453</v>
      </c>
      <c r="I21" s="34">
        <v>22494930.753660157</v>
      </c>
      <c r="J21" s="34">
        <v>19593682.515838169</v>
      </c>
      <c r="K21" s="34">
        <v>16663610.11135905</v>
      </c>
      <c r="L21" s="35">
        <v>9.0700721130000002</v>
      </c>
      <c r="M21" s="35">
        <v>5.1853517399999998</v>
      </c>
      <c r="N21" s="35">
        <v>8.9442259039999996</v>
      </c>
      <c r="O21" s="35">
        <v>14.526221065</v>
      </c>
      <c r="P21" s="35">
        <v>11.630422978</v>
      </c>
      <c r="Q21" s="21">
        <v>58</v>
      </c>
      <c r="R21" s="21">
        <v>65.400000000000006</v>
      </c>
      <c r="S21" s="21">
        <v>65.3</v>
      </c>
      <c r="T21" s="37">
        <v>0.51</v>
      </c>
      <c r="U21" s="36">
        <v>0.52200000000000002</v>
      </c>
      <c r="V21" s="37">
        <v>0.53600000000000003</v>
      </c>
      <c r="W21" s="31">
        <v>51.7</v>
      </c>
      <c r="X21" s="31">
        <v>48.7</v>
      </c>
      <c r="Y21" s="31">
        <v>42.9</v>
      </c>
      <c r="Z21" s="31">
        <v>42.6</v>
      </c>
      <c r="AA21" s="31">
        <v>39.299999999999997</v>
      </c>
      <c r="AB21" s="32">
        <v>25</v>
      </c>
      <c r="AC21" s="32">
        <v>25</v>
      </c>
      <c r="AD21" s="32">
        <v>25</v>
      </c>
      <c r="AE21" s="32">
        <v>26</v>
      </c>
      <c r="AF21" s="26">
        <v>25</v>
      </c>
      <c r="AG21" s="33">
        <v>964067</v>
      </c>
      <c r="AH21" s="33">
        <v>993081</v>
      </c>
      <c r="AI21" s="33">
        <v>1017121</v>
      </c>
      <c r="AJ21" s="33">
        <v>1038397</v>
      </c>
      <c r="AK21" s="46">
        <v>1057252</v>
      </c>
    </row>
    <row r="22" spans="1:37" ht="15.75" x14ac:dyDescent="0.25">
      <c r="A22" s="43" t="s">
        <v>433</v>
      </c>
      <c r="B22" s="34">
        <v>10855.759577012417</v>
      </c>
      <c r="C22" s="34">
        <v>12089.88082223222</v>
      </c>
      <c r="D22" s="34">
        <v>12832.471338928239</v>
      </c>
      <c r="E22" s="34">
        <v>12897.664682052531</v>
      </c>
      <c r="F22" s="34">
        <v>13126.113447441481</v>
      </c>
      <c r="G22" s="34">
        <v>9705869.1809648257</v>
      </c>
      <c r="H22" s="34">
        <v>11245893.311973309</v>
      </c>
      <c r="I22" s="34">
        <v>13586018.274500616</v>
      </c>
      <c r="J22" s="34">
        <v>14646763.330125425</v>
      </c>
      <c r="K22" s="34">
        <v>15871407.993138835</v>
      </c>
      <c r="L22" s="35">
        <v>11.660422343</v>
      </c>
      <c r="M22" s="35">
        <v>11.278308751000001</v>
      </c>
      <c r="N22" s="35">
        <v>9.7700337140000002</v>
      </c>
      <c r="O22" s="35">
        <v>8.7920762349999997</v>
      </c>
      <c r="P22" s="35">
        <v>9.6956452080000002</v>
      </c>
      <c r="Q22" s="21">
        <v>52.7</v>
      </c>
      <c r="R22" s="21">
        <v>53.9</v>
      </c>
      <c r="S22" s="21">
        <v>47.6</v>
      </c>
      <c r="T22" s="36">
        <v>0.50600000000000001</v>
      </c>
      <c r="U22" s="36">
        <v>0.51300000000000001</v>
      </c>
      <c r="V22" s="37">
        <v>0.48699999999999999</v>
      </c>
      <c r="W22" s="31">
        <v>33.4</v>
      </c>
      <c r="X22" s="31">
        <v>32.4</v>
      </c>
      <c r="Y22" s="31">
        <v>23</v>
      </c>
      <c r="Z22" s="31">
        <v>21.4</v>
      </c>
      <c r="AA22" s="31">
        <v>19.2</v>
      </c>
      <c r="AB22" s="32">
        <v>17</v>
      </c>
      <c r="AC22" s="32">
        <v>17</v>
      </c>
      <c r="AD22" s="32">
        <v>17</v>
      </c>
      <c r="AE22" s="32">
        <v>16</v>
      </c>
      <c r="AF22" s="26">
        <v>19</v>
      </c>
      <c r="AG22" s="33">
        <v>1426023</v>
      </c>
      <c r="AH22" s="33">
        <v>1454154</v>
      </c>
      <c r="AI22" s="33">
        <v>1476366</v>
      </c>
      <c r="AJ22" s="33">
        <v>1496163</v>
      </c>
      <c r="AK22" s="46">
        <v>1513782</v>
      </c>
    </row>
    <row r="23" spans="1:37" ht="15.75" x14ac:dyDescent="0.25">
      <c r="A23" s="42" t="s">
        <v>434</v>
      </c>
      <c r="B23" s="19">
        <v>28179.314982241569</v>
      </c>
      <c r="C23" s="19">
        <v>28793.062452657803</v>
      </c>
      <c r="D23" s="19">
        <v>30215.915991025438</v>
      </c>
      <c r="E23" s="19">
        <v>31354.080627896183</v>
      </c>
      <c r="F23" s="19">
        <v>32066.04600507523</v>
      </c>
      <c r="G23" s="19">
        <v>28210904.637520261</v>
      </c>
      <c r="H23" s="19">
        <v>36672706.081645548</v>
      </c>
      <c r="I23" s="19">
        <v>49995978.0241815</v>
      </c>
      <c r="J23" s="19">
        <v>47604122.635042459</v>
      </c>
      <c r="K23" s="19">
        <v>47825421.82365872</v>
      </c>
      <c r="L23" s="35">
        <v>19.895433436000001</v>
      </c>
      <c r="M23" s="35">
        <v>15.402269295</v>
      </c>
      <c r="N23" s="35">
        <v>11.236219059</v>
      </c>
      <c r="O23" s="35">
        <v>10.322538582</v>
      </c>
      <c r="P23" s="35">
        <v>9.4919227579999994</v>
      </c>
      <c r="Q23" s="21">
        <v>32.799999999999997</v>
      </c>
      <c r="R23" s="21">
        <v>28.9</v>
      </c>
      <c r="S23" s="21">
        <v>26.4</v>
      </c>
      <c r="T23" s="36">
        <v>0.51200000000000001</v>
      </c>
      <c r="U23" s="36">
        <v>0.48799999999999999</v>
      </c>
      <c r="V23" s="37">
        <v>0.47099999999999997</v>
      </c>
      <c r="W23" s="31">
        <v>14.1</v>
      </c>
      <c r="X23" s="31">
        <v>14.9</v>
      </c>
      <c r="Y23" s="31">
        <v>11.3</v>
      </c>
      <c r="Z23" s="31">
        <v>12.9</v>
      </c>
      <c r="AA23" s="31">
        <v>10.4</v>
      </c>
      <c r="AB23" s="32">
        <v>16</v>
      </c>
      <c r="AC23" s="32">
        <v>21</v>
      </c>
      <c r="AD23" s="32">
        <v>15</v>
      </c>
      <c r="AE23" s="32">
        <v>17</v>
      </c>
      <c r="AF23" s="26">
        <v>16</v>
      </c>
      <c r="AG23" s="33">
        <v>1082032</v>
      </c>
      <c r="AH23" s="33">
        <v>1098104</v>
      </c>
      <c r="AI23" s="33">
        <v>1113810</v>
      </c>
      <c r="AJ23" s="33">
        <v>1130085</v>
      </c>
      <c r="AK23" s="46">
        <v>1145766</v>
      </c>
    </row>
    <row r="24" spans="1:37" ht="15.75" x14ac:dyDescent="0.25">
      <c r="A24" s="41" t="s">
        <v>435</v>
      </c>
      <c r="B24" s="34">
        <v>12515.430094766236</v>
      </c>
      <c r="C24" s="34">
        <v>13745.169366932374</v>
      </c>
      <c r="D24" s="34">
        <v>14343.985739924141</v>
      </c>
      <c r="E24" s="34">
        <v>14344.291380776132</v>
      </c>
      <c r="F24" s="34">
        <v>14662.831531486238</v>
      </c>
      <c r="G24" s="34">
        <v>9428268.3119219337</v>
      </c>
      <c r="H24" s="34">
        <v>10856675.416640306</v>
      </c>
      <c r="I24" s="34">
        <v>12781060.959344584</v>
      </c>
      <c r="J24" s="34">
        <v>13800814.820645174</v>
      </c>
      <c r="K24" s="34">
        <v>15109122.784585429</v>
      </c>
      <c r="L24" s="35">
        <v>8.0155230829999997</v>
      </c>
      <c r="M24" s="35">
        <v>7.2626397130000004</v>
      </c>
      <c r="N24" s="35">
        <v>6.2042737260000003</v>
      </c>
      <c r="O24" s="35">
        <v>6.8892959070000002</v>
      </c>
      <c r="P24" s="35">
        <v>6.4761432760000002</v>
      </c>
      <c r="Q24" s="21">
        <v>41.8</v>
      </c>
      <c r="R24" s="21">
        <v>40.799999999999997</v>
      </c>
      <c r="S24" s="21">
        <v>36.1</v>
      </c>
      <c r="T24" s="36">
        <v>0.51400000000000001</v>
      </c>
      <c r="U24" s="36">
        <v>0.496</v>
      </c>
      <c r="V24" s="37">
        <v>0.497</v>
      </c>
      <c r="W24" s="31">
        <v>27.3</v>
      </c>
      <c r="X24" s="31">
        <v>22.1</v>
      </c>
      <c r="Y24" s="31">
        <v>17.600000000000001</v>
      </c>
      <c r="Z24" s="31">
        <v>16.600000000000001</v>
      </c>
      <c r="AA24" s="31">
        <v>18.100000000000001</v>
      </c>
      <c r="AB24" s="32">
        <v>19</v>
      </c>
      <c r="AC24" s="32">
        <v>18</v>
      </c>
      <c r="AD24" s="32">
        <v>20</v>
      </c>
      <c r="AE24" s="32">
        <v>20</v>
      </c>
      <c r="AF24" s="26">
        <v>20</v>
      </c>
      <c r="AG24" s="33">
        <v>1665454</v>
      </c>
      <c r="AH24" s="33">
        <v>1678786</v>
      </c>
      <c r="AI24" s="33">
        <v>1689002</v>
      </c>
      <c r="AJ24" s="33">
        <v>1699570</v>
      </c>
      <c r="AK24" s="46">
        <v>1709890</v>
      </c>
    </row>
    <row r="25" spans="1:37" ht="15.75" x14ac:dyDescent="0.25">
      <c r="A25" s="42" t="s">
        <v>436</v>
      </c>
      <c r="B25" s="19">
        <v>12798.496481570961</v>
      </c>
      <c r="C25" s="19">
        <v>14177.8387670666</v>
      </c>
      <c r="D25" s="19">
        <v>15164.150455032552</v>
      </c>
      <c r="E25" s="19">
        <v>15364.076335014488</v>
      </c>
      <c r="F25" s="19">
        <v>15628.732391989028</v>
      </c>
      <c r="G25" s="19">
        <v>9778509.3346023299</v>
      </c>
      <c r="H25" s="19">
        <v>11241019.805798056</v>
      </c>
      <c r="I25" s="19">
        <v>13893546.758351518</v>
      </c>
      <c r="J25" s="19">
        <v>14911421.349776218</v>
      </c>
      <c r="K25" s="19">
        <v>16020799.508268589</v>
      </c>
      <c r="L25" s="35">
        <v>20.021501792999999</v>
      </c>
      <c r="M25" s="35">
        <v>14.548005607</v>
      </c>
      <c r="N25" s="35">
        <v>12.142876727999999</v>
      </c>
      <c r="O25" s="35">
        <v>11.408182610000001</v>
      </c>
      <c r="P25" s="35">
        <v>12.819605988999999</v>
      </c>
      <c r="Q25" s="21">
        <v>49.1</v>
      </c>
      <c r="R25" s="21">
        <v>44.8</v>
      </c>
      <c r="S25" s="21">
        <v>37</v>
      </c>
      <c r="T25" s="36">
        <v>0.499</v>
      </c>
      <c r="U25" s="36">
        <v>0.503</v>
      </c>
      <c r="V25" s="37">
        <v>0.47099999999999997</v>
      </c>
      <c r="W25" s="31">
        <v>26.1</v>
      </c>
      <c r="X25" s="31">
        <v>24.7</v>
      </c>
      <c r="Y25" s="31">
        <v>18.5</v>
      </c>
      <c r="Z25" s="31">
        <v>20.5</v>
      </c>
      <c r="AA25" s="31">
        <v>15.2</v>
      </c>
      <c r="AB25" s="32">
        <v>15</v>
      </c>
      <c r="AC25" s="32">
        <v>15</v>
      </c>
      <c r="AD25" s="32">
        <v>14</v>
      </c>
      <c r="AE25" s="32">
        <v>14</v>
      </c>
      <c r="AF25" s="26">
        <v>14</v>
      </c>
      <c r="AG25" s="33">
        <v>1617209</v>
      </c>
      <c r="AH25" s="33">
        <v>1654341</v>
      </c>
      <c r="AI25" s="33">
        <v>1678975</v>
      </c>
      <c r="AJ25" s="33">
        <v>1696740</v>
      </c>
      <c r="AK25" s="46">
        <v>1709570</v>
      </c>
    </row>
    <row r="26" spans="1:37" ht="15.75" x14ac:dyDescent="0.25">
      <c r="A26" s="43" t="s">
        <v>437</v>
      </c>
      <c r="B26" s="34">
        <v>2823.3037369498948</v>
      </c>
      <c r="C26" s="34">
        <v>3102.5254331681654</v>
      </c>
      <c r="D26" s="34">
        <v>3368.1583120527848</v>
      </c>
      <c r="E26" s="34">
        <v>3440.9122122255603</v>
      </c>
      <c r="F26" s="34">
        <v>3446.0762927754322</v>
      </c>
      <c r="G26" s="34">
        <v>9209972.6881360672</v>
      </c>
      <c r="H26" s="34">
        <v>11527024.515682386</v>
      </c>
      <c r="I26" s="34">
        <v>15071591.946164113</v>
      </c>
      <c r="J26" s="34">
        <v>15229427.175070306</v>
      </c>
      <c r="K26" s="34">
        <v>15670151.948273508</v>
      </c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1">
        <v>27.8</v>
      </c>
      <c r="X26" s="31">
        <v>22.8</v>
      </c>
      <c r="Y26" s="31">
        <v>20.8</v>
      </c>
      <c r="Z26" s="31">
        <v>13.2</v>
      </c>
      <c r="AA26" s="31">
        <v>11.8</v>
      </c>
      <c r="AB26" s="32">
        <v>26</v>
      </c>
      <c r="AC26" s="32">
        <v>27</v>
      </c>
      <c r="AD26" s="32">
        <v>27</v>
      </c>
      <c r="AE26" s="32">
        <v>28</v>
      </c>
      <c r="AF26" s="26">
        <v>29</v>
      </c>
      <c r="AG26" s="33">
        <v>364883</v>
      </c>
      <c r="AH26" s="33">
        <v>371213</v>
      </c>
      <c r="AI26" s="33">
        <v>377095</v>
      </c>
      <c r="AJ26" s="33">
        <v>383042</v>
      </c>
      <c r="AK26" s="46">
        <v>388716</v>
      </c>
    </row>
    <row r="27" spans="1:37" ht="15.75" x14ac:dyDescent="0.25">
      <c r="A27" s="44" t="s">
        <v>438</v>
      </c>
      <c r="B27" s="34">
        <v>6539.4252944267655</v>
      </c>
      <c r="C27" s="34">
        <v>7320.090567103196</v>
      </c>
      <c r="D27" s="34">
        <v>7774.8624431101762</v>
      </c>
      <c r="E27" s="34">
        <v>7799.0703423288423</v>
      </c>
      <c r="F27" s="34">
        <v>7970.4517146410117</v>
      </c>
      <c r="G27" s="34">
        <v>14955010.057035079</v>
      </c>
      <c r="H27" s="34">
        <v>17708212.817298286</v>
      </c>
      <c r="I27" s="34">
        <v>21680751.493498169</v>
      </c>
      <c r="J27" s="34">
        <v>23650520.658519279</v>
      </c>
      <c r="K27" s="34">
        <v>25769801.252096433</v>
      </c>
      <c r="L27" s="35">
        <v>22.839503329999999</v>
      </c>
      <c r="M27" s="35">
        <v>15.063273768</v>
      </c>
      <c r="N27" s="35">
        <v>13.321179068999999</v>
      </c>
      <c r="O27" s="35">
        <v>13.664701077</v>
      </c>
      <c r="P27" s="35">
        <v>12.441808962</v>
      </c>
      <c r="Q27" s="21">
        <v>31.4</v>
      </c>
      <c r="R27" s="21">
        <v>27.5</v>
      </c>
      <c r="S27" s="21">
        <v>27.2</v>
      </c>
      <c r="T27" s="36">
        <v>0.46500000000000002</v>
      </c>
      <c r="U27" s="36">
        <v>0.45800000000000002</v>
      </c>
      <c r="V27" s="37">
        <v>0.46500000000000002</v>
      </c>
      <c r="W27" s="31">
        <v>12.9</v>
      </c>
      <c r="X27" s="31">
        <v>10.9</v>
      </c>
      <c r="Y27" s="31">
        <v>10</v>
      </c>
      <c r="Z27" s="31">
        <v>7.5</v>
      </c>
      <c r="AA27" s="31">
        <v>7.4</v>
      </c>
      <c r="AB27" s="32">
        <v>10</v>
      </c>
      <c r="AC27" s="32">
        <v>8</v>
      </c>
      <c r="AD27" s="32">
        <v>8</v>
      </c>
      <c r="AE27" s="32">
        <v>8</v>
      </c>
      <c r="AF27" s="26">
        <v>9</v>
      </c>
      <c r="AG27" s="33">
        <v>553321</v>
      </c>
      <c r="AH27" s="33">
        <v>557099</v>
      </c>
      <c r="AI27" s="33">
        <v>559810</v>
      </c>
      <c r="AJ27" s="33">
        <v>563076</v>
      </c>
      <c r="AK27" s="46">
        <v>566048</v>
      </c>
    </row>
    <row r="28" spans="1:37" ht="15.75" x14ac:dyDescent="0.25">
      <c r="A28" s="43" t="s">
        <v>439</v>
      </c>
      <c r="B28" s="19">
        <v>13148.919865741227</v>
      </c>
      <c r="C28" s="19">
        <v>14690.78917186427</v>
      </c>
      <c r="D28" s="19">
        <v>15906.175485695439</v>
      </c>
      <c r="E28" s="19">
        <v>16113.093793137878</v>
      </c>
      <c r="F28" s="19">
        <v>16348.008932040064</v>
      </c>
      <c r="G28" s="19">
        <v>17044646.561542135</v>
      </c>
      <c r="H28" s="19">
        <v>20040446.478024598</v>
      </c>
      <c r="I28" s="19">
        <v>24614717.411810737</v>
      </c>
      <c r="J28" s="19">
        <v>27156201.583120223</v>
      </c>
      <c r="K28" s="19">
        <v>29444432.673302799</v>
      </c>
      <c r="L28" s="35">
        <v>14.551941879999999</v>
      </c>
      <c r="M28" s="35">
        <v>13.581745643</v>
      </c>
      <c r="N28" s="35">
        <v>10.635044392999999</v>
      </c>
      <c r="O28" s="35">
        <v>8.7548690879999995</v>
      </c>
      <c r="P28" s="35">
        <v>9.6630979579999998</v>
      </c>
      <c r="Q28" s="21">
        <v>36.9</v>
      </c>
      <c r="R28" s="21">
        <v>30.1</v>
      </c>
      <c r="S28" s="21">
        <v>27.1</v>
      </c>
      <c r="T28" s="37">
        <v>0.51</v>
      </c>
      <c r="U28" s="36">
        <v>0.48699999999999999</v>
      </c>
      <c r="V28" s="37">
        <v>0.47099999999999997</v>
      </c>
      <c r="W28" s="31">
        <v>13.1</v>
      </c>
      <c r="X28" s="31">
        <v>10.7</v>
      </c>
      <c r="Y28" s="31">
        <v>10</v>
      </c>
      <c r="Z28" s="31">
        <v>11.8</v>
      </c>
      <c r="AA28" s="31">
        <v>9.5</v>
      </c>
      <c r="AB28" s="32">
        <v>5</v>
      </c>
      <c r="AC28" s="32">
        <v>5</v>
      </c>
      <c r="AD28" s="32">
        <v>4</v>
      </c>
      <c r="AE28" s="32">
        <v>4</v>
      </c>
      <c r="AF28" s="26">
        <v>3</v>
      </c>
      <c r="AG28" s="33">
        <v>962779</v>
      </c>
      <c r="AH28" s="33">
        <v>968287</v>
      </c>
      <c r="AI28" s="33">
        <v>970138</v>
      </c>
      <c r="AJ28" s="33">
        <v>972304</v>
      </c>
      <c r="AK28" s="46">
        <v>973879</v>
      </c>
    </row>
    <row r="29" spans="1:37" ht="15.75" x14ac:dyDescent="0.25">
      <c r="A29" s="44" t="s">
        <v>440</v>
      </c>
      <c r="B29" s="34">
        <v>1135.0782368763259</v>
      </c>
      <c r="C29" s="34">
        <v>1403.6750889967213</v>
      </c>
      <c r="D29" s="34">
        <v>1570.4176562631535</v>
      </c>
      <c r="E29" s="34">
        <v>1531.6419369479702</v>
      </c>
      <c r="F29" s="34">
        <v>1531.4890568553647</v>
      </c>
      <c r="G29" s="34">
        <v>21813774.376831915</v>
      </c>
      <c r="H29" s="34">
        <v>27367481.78050255</v>
      </c>
      <c r="I29" s="34">
        <v>33942051.293086082</v>
      </c>
      <c r="J29" s="34">
        <v>36706063.457433492</v>
      </c>
      <c r="K29" s="34">
        <v>39429611.228408009</v>
      </c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1">
        <v>11.9</v>
      </c>
      <c r="X29" s="31">
        <v>7</v>
      </c>
      <c r="Y29" s="31">
        <v>8.8000000000000007</v>
      </c>
      <c r="Z29" s="31">
        <v>5</v>
      </c>
      <c r="AA29" s="31">
        <v>6</v>
      </c>
      <c r="AB29" s="32">
        <v>14</v>
      </c>
      <c r="AC29" s="32">
        <v>13</v>
      </c>
      <c r="AD29" s="32">
        <v>16</v>
      </c>
      <c r="AE29" s="32">
        <v>15</v>
      </c>
      <c r="AF29" s="26">
        <v>13</v>
      </c>
      <c r="AG29" s="33">
        <v>61898</v>
      </c>
      <c r="AH29" s="33">
        <v>62159</v>
      </c>
      <c r="AI29" s="33">
        <v>62255</v>
      </c>
      <c r="AJ29" s="33">
        <v>62269</v>
      </c>
      <c r="AK29" s="46">
        <v>62249</v>
      </c>
    </row>
    <row r="30" spans="1:37" ht="15.75" x14ac:dyDescent="0.25">
      <c r="A30" s="43" t="s">
        <v>441</v>
      </c>
      <c r="B30" s="34">
        <v>51475.279087527131</v>
      </c>
      <c r="C30" s="34">
        <v>57117.604969578664</v>
      </c>
      <c r="D30" s="34">
        <v>61011.032576536913</v>
      </c>
      <c r="E30" s="34">
        <v>61497.4357857824</v>
      </c>
      <c r="F30" s="34">
        <v>62586.913701831931</v>
      </c>
      <c r="G30" s="34">
        <v>27008506.108117621</v>
      </c>
      <c r="H30" s="34">
        <v>32505857.584854275</v>
      </c>
      <c r="I30" s="34">
        <v>39833402.219428383</v>
      </c>
      <c r="J30" s="34">
        <v>43037990.497018658</v>
      </c>
      <c r="K30" s="34">
        <v>46085144.031440713</v>
      </c>
      <c r="L30" s="35">
        <v>16.561704641999999</v>
      </c>
      <c r="M30" s="35">
        <v>12.895329126</v>
      </c>
      <c r="N30" s="35">
        <v>10.683891864</v>
      </c>
      <c r="O30" s="35">
        <v>10.504222668000001</v>
      </c>
      <c r="P30" s="35">
        <v>11.026241994999999</v>
      </c>
      <c r="Q30" s="21">
        <v>40.299999999999997</v>
      </c>
      <c r="R30" s="21">
        <v>37.299999999999997</v>
      </c>
      <c r="S30" s="21">
        <v>29.6</v>
      </c>
      <c r="T30" s="36">
        <v>0.51400000000000001</v>
      </c>
      <c r="U30" s="36">
        <v>0.52200000000000002</v>
      </c>
      <c r="V30" s="37">
        <v>0.501</v>
      </c>
      <c r="W30" s="31">
        <v>12.5</v>
      </c>
      <c r="X30" s="31">
        <v>13.3</v>
      </c>
      <c r="Y30" s="31">
        <v>10.4</v>
      </c>
      <c r="Z30" s="31">
        <v>9.8000000000000007</v>
      </c>
      <c r="AA30" s="31">
        <v>6.8</v>
      </c>
      <c r="AB30" s="32">
        <v>4</v>
      </c>
      <c r="AC30" s="32">
        <v>6</v>
      </c>
      <c r="AD30" s="32">
        <v>6</v>
      </c>
      <c r="AE30" s="32">
        <v>6</v>
      </c>
      <c r="AF30" s="26">
        <v>6</v>
      </c>
      <c r="AG30" s="33">
        <v>2282208</v>
      </c>
      <c r="AH30" s="33">
        <v>2312097</v>
      </c>
      <c r="AI30" s="33">
        <v>2335238</v>
      </c>
      <c r="AJ30" s="33">
        <v>2357127</v>
      </c>
      <c r="AK30" s="46">
        <v>2376736</v>
      </c>
    </row>
    <row r="31" spans="1:37" ht="15.75" x14ac:dyDescent="0.25">
      <c r="A31" s="42" t="s">
        <v>442</v>
      </c>
      <c r="B31" s="19">
        <v>6941.3873765932831</v>
      </c>
      <c r="C31" s="19">
        <v>7676.9808021355675</v>
      </c>
      <c r="D31" s="19">
        <v>8040.8406629997198</v>
      </c>
      <c r="E31" s="19">
        <v>8050.4154254198756</v>
      </c>
      <c r="F31" s="19">
        <v>8123.3195009249675</v>
      </c>
      <c r="G31" s="19">
        <v>8896881.0533462819</v>
      </c>
      <c r="H31" s="19">
        <v>10129393.083436335</v>
      </c>
      <c r="I31" s="19">
        <v>11748337.810178738</v>
      </c>
      <c r="J31" s="19">
        <v>12780507.489903076</v>
      </c>
      <c r="K31" s="19">
        <v>13686814.543496331</v>
      </c>
      <c r="L31" s="35">
        <v>14.286170649000001</v>
      </c>
      <c r="M31" s="35">
        <v>11.162436753</v>
      </c>
      <c r="N31" s="35">
        <v>10.626386451</v>
      </c>
      <c r="O31" s="35">
        <v>10.837788868000001</v>
      </c>
      <c r="P31" s="35">
        <v>11.591605164000001</v>
      </c>
      <c r="Q31" s="21">
        <v>60.9</v>
      </c>
      <c r="R31" s="21">
        <v>60.4</v>
      </c>
      <c r="S31" s="21">
        <v>54.5</v>
      </c>
      <c r="T31" s="36">
        <v>0.51100000000000001</v>
      </c>
      <c r="U31" s="36">
        <v>0.503</v>
      </c>
      <c r="V31" s="37">
        <v>0.49199999999999999</v>
      </c>
      <c r="W31" s="31">
        <v>38.1</v>
      </c>
      <c r="X31" s="31">
        <v>30.3</v>
      </c>
      <c r="Y31" s="31">
        <v>26</v>
      </c>
      <c r="Z31" s="31">
        <v>23.1</v>
      </c>
      <c r="AA31" s="31">
        <v>21.8</v>
      </c>
      <c r="AB31" s="32">
        <v>23</v>
      </c>
      <c r="AC31" s="32">
        <v>23</v>
      </c>
      <c r="AD31" s="32">
        <v>23</v>
      </c>
      <c r="AE31" s="32">
        <v>23</v>
      </c>
      <c r="AF31" s="26">
        <v>24</v>
      </c>
      <c r="AG31" s="33">
        <v>950612</v>
      </c>
      <c r="AH31" s="33">
        <v>966893</v>
      </c>
      <c r="AI31" s="33">
        <v>980942</v>
      </c>
      <c r="AJ31" s="33">
        <v>994060</v>
      </c>
      <c r="AK31" s="46">
        <v>1006044</v>
      </c>
    </row>
    <row r="32" spans="1:37" ht="15.75" x14ac:dyDescent="0.25">
      <c r="A32" s="43" t="s">
        <v>443</v>
      </c>
      <c r="B32" s="34">
        <v>17149.312859937614</v>
      </c>
      <c r="C32" s="34">
        <v>18732.550985507864</v>
      </c>
      <c r="D32" s="34">
        <v>19647.318023103704</v>
      </c>
      <c r="E32" s="34">
        <v>19826.489814651715</v>
      </c>
      <c r="F32" s="34">
        <v>20323.273624119254</v>
      </c>
      <c r="G32" s="34">
        <v>15813963.48735074</v>
      </c>
      <c r="H32" s="34">
        <v>18465880.731416643</v>
      </c>
      <c r="I32" s="34">
        <v>22638170.977008332</v>
      </c>
      <c r="J32" s="34">
        <v>24545710.634119663</v>
      </c>
      <c r="K32" s="34">
        <v>26826265.003601052</v>
      </c>
      <c r="L32" s="35">
        <v>23.242521110999999</v>
      </c>
      <c r="M32" s="35">
        <v>16.256631201000001</v>
      </c>
      <c r="N32" s="35">
        <v>15.720949206</v>
      </c>
      <c r="O32" s="35">
        <v>11.526903594</v>
      </c>
      <c r="P32" s="35">
        <v>12.002403651</v>
      </c>
      <c r="Q32" s="21">
        <v>44.8</v>
      </c>
      <c r="R32" s="21">
        <v>39.799999999999997</v>
      </c>
      <c r="S32" s="21">
        <v>38.1</v>
      </c>
      <c r="T32" s="36">
        <v>0.53600000000000003</v>
      </c>
      <c r="U32" s="36">
        <v>0.52600000000000002</v>
      </c>
      <c r="V32" s="37">
        <v>0.51800000000000002</v>
      </c>
      <c r="W32" s="31">
        <v>19</v>
      </c>
      <c r="X32" s="31">
        <v>16.600000000000001</v>
      </c>
      <c r="Y32" s="31">
        <v>10.5</v>
      </c>
      <c r="Z32" s="31">
        <v>12.9</v>
      </c>
      <c r="AA32" s="31">
        <v>12.6</v>
      </c>
      <c r="AB32" s="32">
        <v>12</v>
      </c>
      <c r="AC32" s="32">
        <v>11</v>
      </c>
      <c r="AD32" s="32">
        <v>11</v>
      </c>
      <c r="AE32" s="32">
        <v>13</v>
      </c>
      <c r="AF32" s="26">
        <v>12</v>
      </c>
      <c r="AG32" s="33">
        <v>1354338</v>
      </c>
      <c r="AH32" s="33">
        <v>1361931</v>
      </c>
      <c r="AI32" s="33">
        <v>1367802</v>
      </c>
      <c r="AJ32" s="33">
        <v>1374384</v>
      </c>
      <c r="AK32" s="46">
        <v>1380948</v>
      </c>
    </row>
    <row r="33" spans="1:37" ht="15.75" x14ac:dyDescent="0.25">
      <c r="A33" s="42" t="s">
        <v>444</v>
      </c>
      <c r="B33" s="19">
        <v>81903.583255596983</v>
      </c>
      <c r="C33" s="19">
        <v>89970.376918359136</v>
      </c>
      <c r="D33" s="19">
        <v>97055.238716547217</v>
      </c>
      <c r="E33" s="19">
        <v>97519.939074403301</v>
      </c>
      <c r="F33" s="19">
        <v>99509.138577375765</v>
      </c>
      <c r="G33" s="19">
        <v>21847923.806332476</v>
      </c>
      <c r="H33" s="19">
        <v>25261254.689502876</v>
      </c>
      <c r="I33" s="19">
        <v>30448844.578981493</v>
      </c>
      <c r="J33" s="19">
        <v>33109723.623514898</v>
      </c>
      <c r="K33" s="19">
        <v>35794178.931781851</v>
      </c>
      <c r="L33" s="35">
        <v>20.956546081999999</v>
      </c>
      <c r="M33" s="35">
        <v>16.531417978</v>
      </c>
      <c r="N33" s="35">
        <v>13.234388320000001</v>
      </c>
      <c r="O33" s="35">
        <v>11.722654166</v>
      </c>
      <c r="P33" s="35">
        <v>12.072426023</v>
      </c>
      <c r="Q33" s="21">
        <v>32.1</v>
      </c>
      <c r="R33" s="21">
        <v>28.1</v>
      </c>
      <c r="S33" s="21">
        <v>26.6</v>
      </c>
      <c r="T33" s="36">
        <v>0.52300000000000002</v>
      </c>
      <c r="U33" s="36">
        <v>0.52100000000000002</v>
      </c>
      <c r="V33" s="37">
        <v>0.51</v>
      </c>
      <c r="W33" s="31">
        <v>11.1</v>
      </c>
      <c r="X33" s="31">
        <v>8.6</v>
      </c>
      <c r="Y33" s="31">
        <v>9.6999999999999993</v>
      </c>
      <c r="Z33" s="31">
        <v>7.2</v>
      </c>
      <c r="AA33" s="31">
        <v>6.2</v>
      </c>
      <c r="AB33" s="32">
        <v>3</v>
      </c>
      <c r="AC33" s="32">
        <v>4</v>
      </c>
      <c r="AD33" s="32">
        <v>5</v>
      </c>
      <c r="AE33" s="32">
        <v>5</v>
      </c>
      <c r="AF33" s="26">
        <v>4</v>
      </c>
      <c r="AG33" s="33">
        <v>4582377</v>
      </c>
      <c r="AH33" s="33">
        <v>4613764</v>
      </c>
      <c r="AI33" s="33">
        <v>4626064</v>
      </c>
      <c r="AJ33" s="33">
        <v>4638029</v>
      </c>
      <c r="AK33" s="46">
        <v>4647367</v>
      </c>
    </row>
    <row r="34" spans="1:37" ht="15.75" x14ac:dyDescent="0.25">
      <c r="A34" s="43" t="s">
        <v>445</v>
      </c>
      <c r="B34" s="34">
        <v>241.88285522864061</v>
      </c>
      <c r="C34" s="34">
        <v>266.16662452205611</v>
      </c>
      <c r="D34" s="34">
        <v>272.18712045689813</v>
      </c>
      <c r="E34" s="34">
        <v>276.07087080017283</v>
      </c>
      <c r="F34" s="34">
        <v>280.51929935523128</v>
      </c>
      <c r="G34" s="34">
        <v>6798815.8420748021</v>
      </c>
      <c r="H34" s="34">
        <v>7518842.4508588091</v>
      </c>
      <c r="I34" s="34">
        <v>8313904.921715593</v>
      </c>
      <c r="J34" s="34">
        <v>9127210.2494879048</v>
      </c>
      <c r="K34" s="34">
        <v>9839078.3001939617</v>
      </c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1">
        <v>65.599999999999994</v>
      </c>
      <c r="X34" s="31">
        <v>52.7</v>
      </c>
      <c r="Y34" s="31">
        <v>47.1</v>
      </c>
      <c r="Z34" s="31">
        <v>55.7</v>
      </c>
      <c r="AA34" s="31">
        <v>37.4</v>
      </c>
      <c r="AB34" s="32">
        <v>29</v>
      </c>
      <c r="AC34" s="32">
        <v>32</v>
      </c>
      <c r="AD34" s="32">
        <v>32</v>
      </c>
      <c r="AE34" s="32">
        <v>31</v>
      </c>
      <c r="AF34" s="26">
        <v>32</v>
      </c>
      <c r="AG34" s="33">
        <v>43188</v>
      </c>
      <c r="AH34" s="33">
        <v>44378</v>
      </c>
      <c r="AI34" s="33">
        <v>45579</v>
      </c>
      <c r="AJ34" s="33">
        <v>46777</v>
      </c>
      <c r="AK34" s="46">
        <v>47961</v>
      </c>
    </row>
    <row r="35" spans="1:37" ht="15.75" x14ac:dyDescent="0.25">
      <c r="A35" s="54" t="s">
        <v>446</v>
      </c>
      <c r="B35" s="55">
        <v>556.33634113755227</v>
      </c>
      <c r="C35" s="55">
        <v>606.75448364271392</v>
      </c>
      <c r="D35" s="55">
        <v>614.99131815372004</v>
      </c>
      <c r="E35" s="55">
        <v>622.20138745715997</v>
      </c>
      <c r="F35" s="55">
        <v>640.15190181875482</v>
      </c>
      <c r="G35" s="55">
        <v>5961135.2190826684</v>
      </c>
      <c r="H35" s="55">
        <v>6791463.5084743062</v>
      </c>
      <c r="I35" s="55">
        <v>7995550.5621267799</v>
      </c>
      <c r="J35" s="55">
        <v>8570909.9709457494</v>
      </c>
      <c r="K35" s="55">
        <v>9301990.0915443003</v>
      </c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7">
        <v>75.599999999999994</v>
      </c>
      <c r="X35" s="57">
        <v>64.8</v>
      </c>
      <c r="Y35" s="57">
        <v>75.400000000000006</v>
      </c>
      <c r="Z35" s="57">
        <v>65.400000000000006</v>
      </c>
      <c r="AA35" s="57">
        <v>70.2</v>
      </c>
      <c r="AB35" s="58">
        <v>33</v>
      </c>
      <c r="AC35" s="58">
        <v>33</v>
      </c>
      <c r="AD35" s="58">
        <v>33</v>
      </c>
      <c r="AE35" s="58">
        <v>33</v>
      </c>
      <c r="AF35" s="59">
        <v>33</v>
      </c>
      <c r="AG35" s="60">
        <v>115196</v>
      </c>
      <c r="AH35" s="60">
        <v>118270</v>
      </c>
      <c r="AI35" s="60">
        <v>120942</v>
      </c>
      <c r="AJ35" s="60">
        <v>123304</v>
      </c>
      <c r="AK35" s="61">
        <v>125477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861E02-0DCF-4F17-953C-B3644137230A}">
  <sheetPr>
    <tabColor rgb="FF7030A0"/>
  </sheetPr>
  <dimension ref="A1:M83"/>
  <sheetViews>
    <sheetView topLeftCell="A27" workbookViewId="0">
      <selection activeCell="D2" sqref="D2"/>
    </sheetView>
  </sheetViews>
  <sheetFormatPr baseColWidth="10" defaultRowHeight="15" x14ac:dyDescent="0.25"/>
  <cols>
    <col min="1" max="6" width="25.7109375" style="38" customWidth="1"/>
    <col min="7" max="16384" width="11.42578125" style="38"/>
  </cols>
  <sheetData>
    <row r="1" spans="1:13" ht="21" x14ac:dyDescent="0.35">
      <c r="A1" s="162" t="s">
        <v>447</v>
      </c>
      <c r="B1" s="162"/>
      <c r="C1" s="162"/>
      <c r="D1" s="162"/>
      <c r="E1" s="162"/>
      <c r="F1" s="162"/>
      <c r="G1" s="67"/>
      <c r="H1" s="67"/>
      <c r="I1" s="67"/>
      <c r="J1" s="67"/>
      <c r="K1" s="68"/>
      <c r="L1" s="68"/>
      <c r="M1" s="68"/>
    </row>
    <row r="2" spans="1:13" ht="18.75" x14ac:dyDescent="0.3">
      <c r="A2" s="16" t="s">
        <v>448</v>
      </c>
      <c r="B2" s="121" t="s">
        <v>23</v>
      </c>
      <c r="C2" s="16" t="s">
        <v>449</v>
      </c>
      <c r="D2" s="122" t="s">
        <v>444</v>
      </c>
      <c r="E2" s="62"/>
      <c r="F2" s="62"/>
      <c r="G2" s="62"/>
      <c r="H2" s="62"/>
      <c r="J2" s="161"/>
      <c r="K2" s="161"/>
      <c r="L2" s="161"/>
      <c r="M2" s="161"/>
    </row>
    <row r="3" spans="1:13" ht="18.75" x14ac:dyDescent="0.3">
      <c r="A3" s="63"/>
      <c r="B3" s="64"/>
      <c r="C3" s="64"/>
      <c r="D3" s="64"/>
      <c r="E3" s="62"/>
      <c r="F3" s="63"/>
      <c r="G3" s="64"/>
      <c r="H3" s="64"/>
      <c r="I3" s="39"/>
      <c r="J3" s="40"/>
      <c r="K3" s="40"/>
      <c r="L3" s="40"/>
    </row>
    <row r="4" spans="1:13" ht="18.75" x14ac:dyDescent="0.3">
      <c r="A4" s="74" t="s">
        <v>276</v>
      </c>
      <c r="B4" s="69">
        <v>2020</v>
      </c>
      <c r="C4" s="69">
        <v>2021</v>
      </c>
      <c r="D4" s="69">
        <v>2022</v>
      </c>
      <c r="E4" s="70">
        <v>2023</v>
      </c>
      <c r="F4" s="69">
        <v>2024</v>
      </c>
    </row>
    <row r="5" spans="1:13" ht="18.75" x14ac:dyDescent="0.3">
      <c r="A5" s="71" t="str">
        <f>+A16</f>
        <v>Boyacá</v>
      </c>
      <c r="B5" s="72">
        <f>_xlfn.XLOOKUP($B$2,Tabla2[Departamento],Tabla2[N_2020],"No aplica")</f>
        <v>1257289</v>
      </c>
      <c r="C5" s="72">
        <f>_xlfn.XLOOKUP($B$2,Tabla2[Departamento],Tabla2[N_2021],"No aplica")</f>
        <v>1271639</v>
      </c>
      <c r="D5" s="72">
        <f>_xlfn.XLOOKUP($B$2,Tabla2[Departamento],Tabla2[N_2022],"No aplica")</f>
        <v>1285035</v>
      </c>
      <c r="E5" s="72">
        <f>_xlfn.XLOOKUP($B$2,Tabla2[Departamento],Tabla2[N_2023],"No aplica")</f>
        <v>1298800</v>
      </c>
      <c r="F5" s="72">
        <f>_xlfn.XLOOKUP($B$2,Tabla2[Departamento],Tabla2[N_2024],"No aplica")</f>
        <v>1311983</v>
      </c>
    </row>
    <row r="6" spans="1:13" ht="18.75" x14ac:dyDescent="0.3">
      <c r="A6" s="71" t="str">
        <f>+A17</f>
        <v>Valle del Cauca</v>
      </c>
      <c r="B6" s="72">
        <f>_xlfn.XLOOKUP($D$2,Tabla2[Departamento],Tabla2[N_2020],"No aplica")</f>
        <v>4582377</v>
      </c>
      <c r="C6" s="72">
        <f>_xlfn.XLOOKUP($D$2,Tabla2[Departamento],Tabla2[N_2021],"No aplica")</f>
        <v>4613764</v>
      </c>
      <c r="D6" s="72">
        <f>_xlfn.XLOOKUP($D$2,Tabla2[Departamento],Tabla2[N_2022],"No aplica")</f>
        <v>4626064</v>
      </c>
      <c r="E6" s="72">
        <f>_xlfn.XLOOKUP($D$2,Tabla2[Departamento],Tabla2[N_2023],"No aplica")</f>
        <v>4638029</v>
      </c>
      <c r="F6" s="72">
        <f>_xlfn.XLOOKUP($D$2,Tabla2[Departamento],Tabla2[N_2024],"No aplica")</f>
        <v>4647367</v>
      </c>
    </row>
    <row r="7" spans="1:13" ht="18.75" x14ac:dyDescent="0.3">
      <c r="A7" s="71" t="s">
        <v>450</v>
      </c>
      <c r="B7" s="72">
        <f>_xlfn.XLOOKUP("Colombia",Tabla2[Departamento],Tabla2[N_2020],"No aplica")</f>
        <v>50407647</v>
      </c>
      <c r="C7" s="72">
        <f>_xlfn.XLOOKUP("Colombia",Tabla2[Departamento],Tabla2[N_2021],"No aplica")</f>
        <v>51117378</v>
      </c>
      <c r="D7" s="72">
        <f>_xlfn.XLOOKUP("Colombia",Tabla2[Departamento],Tabla2[N_2022],"No aplica")</f>
        <v>51682692</v>
      </c>
      <c r="E7" s="72">
        <f>_xlfn.XLOOKUP("Colombia",Tabla2[Departamento],Tabla2[N_2023],"No aplica")</f>
        <v>52215503</v>
      </c>
      <c r="F7" s="72">
        <f>_xlfn.XLOOKUP("Colombia",Tabla2[Departamento],Tabla2[N_2024],"No aplica")</f>
        <v>52695952</v>
      </c>
    </row>
    <row r="8" spans="1:13" ht="18.75" x14ac:dyDescent="0.3">
      <c r="A8" s="62" t="str">
        <f>+A5</f>
        <v>Boyacá</v>
      </c>
      <c r="B8" s="62"/>
      <c r="C8" s="73">
        <f>+(C5-B5)/B5</f>
        <v>1.1413445914185203E-2</v>
      </c>
      <c r="D8" s="73">
        <f t="shared" ref="D8:F8" si="0">+(D5-C5)/C5</f>
        <v>1.0534436266896501E-2</v>
      </c>
      <c r="E8" s="73">
        <f t="shared" si="0"/>
        <v>1.0711770496523441E-2</v>
      </c>
      <c r="F8" s="73">
        <f t="shared" si="0"/>
        <v>1.01501385894672E-2</v>
      </c>
    </row>
    <row r="9" spans="1:13" ht="18.75" x14ac:dyDescent="0.3">
      <c r="A9" s="62" t="str">
        <f t="shared" ref="A9:A10" si="1">+A6</f>
        <v>Valle del Cauca</v>
      </c>
      <c r="B9" s="62"/>
      <c r="C9" s="73">
        <f t="shared" ref="C9:F10" si="2">+(C6-B6)/B6</f>
        <v>6.8495019069797179E-3</v>
      </c>
      <c r="D9" s="73">
        <f t="shared" si="2"/>
        <v>2.6659360990289056E-3</v>
      </c>
      <c r="E9" s="73">
        <f t="shared" si="2"/>
        <v>2.586432007858084E-3</v>
      </c>
      <c r="F9" s="73">
        <f t="shared" si="2"/>
        <v>2.0133552420651098E-3</v>
      </c>
    </row>
    <row r="10" spans="1:13" ht="18.75" x14ac:dyDescent="0.3">
      <c r="A10" s="62" t="str">
        <f t="shared" si="1"/>
        <v>Colombia</v>
      </c>
      <c r="B10" s="62"/>
      <c r="C10" s="73">
        <f t="shared" si="2"/>
        <v>1.4079828007048217E-2</v>
      </c>
      <c r="D10" s="73">
        <f t="shared" si="2"/>
        <v>1.1059135310109216E-2</v>
      </c>
      <c r="E10" s="73">
        <f t="shared" si="2"/>
        <v>1.0309273363701721E-2</v>
      </c>
      <c r="F10" s="73">
        <f t="shared" si="2"/>
        <v>9.2012711244015017E-3</v>
      </c>
    </row>
    <row r="11" spans="1:13" ht="18.75" x14ac:dyDescent="0.3">
      <c r="A11" s="62"/>
      <c r="B11" s="62"/>
      <c r="C11" s="62"/>
      <c r="D11" s="62"/>
      <c r="E11" s="62"/>
      <c r="F11" s="62"/>
    </row>
    <row r="15" spans="1:13" ht="18.75" x14ac:dyDescent="0.3">
      <c r="A15" s="104" t="s">
        <v>451</v>
      </c>
      <c r="B15" s="105">
        <v>2020</v>
      </c>
      <c r="C15" s="105">
        <v>2021</v>
      </c>
      <c r="D15" s="105">
        <v>2022</v>
      </c>
      <c r="E15" s="106">
        <v>2023</v>
      </c>
      <c r="F15" s="105">
        <v>2024</v>
      </c>
    </row>
    <row r="16" spans="1:13" ht="18.75" x14ac:dyDescent="0.3">
      <c r="A16" s="102" t="str">
        <f>+B2</f>
        <v>Boyacá</v>
      </c>
      <c r="B16" s="103">
        <f>_xlfn.XLOOKUP($B$2,Tabla2[Departamento],Tabla2[PIB_2020],"No aplica")</f>
        <v>21491.478508698481</v>
      </c>
      <c r="C16" s="103">
        <f>_xlfn.XLOOKUP($B$2,Tabla2[Departamento],Tabla2[PIB_2021],"No aplica")</f>
        <v>23270.350905332649</v>
      </c>
      <c r="D16" s="103">
        <f>_xlfn.XLOOKUP($B$2,Tabla2[Departamento],Tabla2[PIB_2022],"No aplica")</f>
        <v>24835.37666562782</v>
      </c>
      <c r="E16" s="103">
        <f>_xlfn.XLOOKUP($B$2,Tabla2[Departamento],Tabla2[PIB_2023],"No aplica")</f>
        <v>24919.727227986408</v>
      </c>
      <c r="F16" s="103">
        <f>_xlfn.XLOOKUP($B$2,Tabla2[Departamento],Tabla2[PIB_2024],"No aplica")</f>
        <v>25177.136525722381</v>
      </c>
    </row>
    <row r="17" spans="1:6" ht="18.75" x14ac:dyDescent="0.3">
      <c r="A17" s="102" t="str">
        <f>+D2</f>
        <v>Valle del Cauca</v>
      </c>
      <c r="B17" s="103">
        <f>_xlfn.XLOOKUP($D$2,Tabla2[Departamento],Tabla2[PIB_2020],"No aplica")</f>
        <v>81903.583255596983</v>
      </c>
      <c r="C17" s="103">
        <f>_xlfn.XLOOKUP($D$2,Tabla2[Departamento],Tabla2[PIB_2021],"No aplica")</f>
        <v>89970.376918359136</v>
      </c>
      <c r="D17" s="103">
        <f>_xlfn.XLOOKUP($D$2,Tabla2[Departamento],Tabla2[PIB_2022],"No aplica")</f>
        <v>97055.238716547217</v>
      </c>
      <c r="E17" s="103">
        <f>_xlfn.XLOOKUP($D$2,Tabla2[Departamento],Tabla2[PIB_2023],"No aplica")</f>
        <v>97519.939074403301</v>
      </c>
      <c r="F17" s="103">
        <f>_xlfn.XLOOKUP($D$2,Tabla2[Departamento],Tabla2[PIB_2024],"No aplica")</f>
        <v>99509.138577375765</v>
      </c>
    </row>
    <row r="18" spans="1:6" ht="18.75" x14ac:dyDescent="0.3">
      <c r="A18" s="102" t="s">
        <v>450</v>
      </c>
      <c r="B18" s="103">
        <f>_xlfn.XLOOKUP("Colombia",Tabla2[Departamento],Tabla2[PIB_2020],"No aplica")</f>
        <v>817900</v>
      </c>
      <c r="C18" s="103">
        <f>_xlfn.XLOOKUP("Colombia",Tabla2[Departamento],Tabla2[PIB_2021],"No aplica")</f>
        <v>906243</v>
      </c>
      <c r="D18" s="103">
        <f>_xlfn.XLOOKUP("Colombia",Tabla2[Departamento],Tabla2[PIB_2022],"No aplica")</f>
        <v>972655</v>
      </c>
      <c r="E18" s="103">
        <f>_xlfn.XLOOKUP("Colombia",Tabla2[Departamento],Tabla2[PIB_2023],"No aplica")</f>
        <v>979584</v>
      </c>
      <c r="F18" s="103">
        <f>_xlfn.XLOOKUP("Colombia",Tabla2[Departamento],Tabla2[PIB_2024],"No aplica")</f>
        <v>995240.51329762861</v>
      </c>
    </row>
    <row r="19" spans="1:6" ht="18.75" x14ac:dyDescent="0.3">
      <c r="A19" s="64" t="str">
        <f>+A16</f>
        <v>Boyacá</v>
      </c>
      <c r="B19" s="65"/>
      <c r="C19" s="66">
        <f>+(C16-B16)/B16</f>
        <v>8.2771057185022673E-2</v>
      </c>
      <c r="D19" s="66">
        <f t="shared" ref="D19:F19" si="3">+(D16-C16)/C16</f>
        <v>6.7254067919385319E-2</v>
      </c>
      <c r="E19" s="66">
        <f t="shared" si="3"/>
        <v>3.3963874796120634E-3</v>
      </c>
      <c r="F19" s="66">
        <f t="shared" si="3"/>
        <v>1.0329539139051476E-2</v>
      </c>
    </row>
    <row r="20" spans="1:6" ht="18.75" x14ac:dyDescent="0.3">
      <c r="A20" s="64" t="str">
        <f>+A17</f>
        <v>Valle del Cauca</v>
      </c>
      <c r="B20" s="65"/>
      <c r="C20" s="66">
        <f t="shared" ref="C20:F21" si="4">+(C17-B17)/B17</f>
        <v>9.8491339964798169E-2</v>
      </c>
      <c r="D20" s="66">
        <f t="shared" si="4"/>
        <v>7.8746605725760407E-2</v>
      </c>
      <c r="E20" s="66">
        <f t="shared" si="4"/>
        <v>4.7879987108501686E-3</v>
      </c>
      <c r="F20" s="66">
        <f t="shared" si="4"/>
        <v>2.0397874751078286E-2</v>
      </c>
    </row>
    <row r="21" spans="1:6" ht="18.75" x14ac:dyDescent="0.3">
      <c r="A21" s="64" t="str">
        <f>+A18</f>
        <v>Colombia</v>
      </c>
      <c r="B21" s="65"/>
      <c r="C21" s="66">
        <f t="shared" si="4"/>
        <v>0.10801198190487835</v>
      </c>
      <c r="D21" s="66">
        <f t="shared" si="4"/>
        <v>7.3282772942797905E-2</v>
      </c>
      <c r="E21" s="66">
        <f t="shared" si="4"/>
        <v>7.1238003197433824E-3</v>
      </c>
      <c r="F21" s="66">
        <f t="shared" si="4"/>
        <v>1.5982818520544038E-2</v>
      </c>
    </row>
    <row r="22" spans="1:6" ht="18.75" x14ac:dyDescent="0.3">
      <c r="A22" s="62" t="str">
        <f>+A16</f>
        <v>Boyacá</v>
      </c>
      <c r="B22" s="73">
        <f>+B16/B18</f>
        <v>2.6276413386353444E-2</v>
      </c>
      <c r="C22" s="73">
        <f t="shared" ref="C22:F22" si="5">+C16/C18</f>
        <v>2.567782692427158E-2</v>
      </c>
      <c r="D22" s="73">
        <f t="shared" si="5"/>
        <v>2.5533592759640181E-2</v>
      </c>
      <c r="E22" s="73">
        <f t="shared" si="5"/>
        <v>2.5439091724636587E-2</v>
      </c>
      <c r="F22" s="73">
        <f t="shared" si="5"/>
        <v>2.5297539830146674E-2</v>
      </c>
    </row>
    <row r="23" spans="1:6" ht="18.75" x14ac:dyDescent="0.3">
      <c r="A23" s="62" t="str">
        <f>+A17</f>
        <v>Valle del Cauca</v>
      </c>
      <c r="B23" s="73">
        <f>+B17/B18</f>
        <v>0.10013887181268735</v>
      </c>
      <c r="C23" s="73">
        <f t="shared" ref="C23:F23" si="6">+C17/C18</f>
        <v>9.9278424129465428E-2</v>
      </c>
      <c r="D23" s="73">
        <f t="shared" si="6"/>
        <v>9.9783827478959364E-2</v>
      </c>
      <c r="E23" s="73">
        <f t="shared" si="6"/>
        <v>9.9552400890993833E-2</v>
      </c>
      <c r="F23" s="73">
        <f t="shared" si="6"/>
        <v>9.9985015931136401E-2</v>
      </c>
    </row>
    <row r="24" spans="1:6" ht="18.75" x14ac:dyDescent="0.3">
      <c r="A24" s="62"/>
      <c r="B24" s="62"/>
      <c r="C24" s="62"/>
      <c r="D24" s="62"/>
      <c r="E24" s="62"/>
      <c r="F24" s="62"/>
    </row>
    <row r="25" spans="1:6" ht="18.75" x14ac:dyDescent="0.3">
      <c r="A25" s="62"/>
      <c r="B25" s="62"/>
      <c r="C25" s="62"/>
      <c r="D25" s="62"/>
      <c r="E25" s="62"/>
      <c r="F25" s="62"/>
    </row>
    <row r="26" spans="1:6" ht="18.75" x14ac:dyDescent="0.3">
      <c r="A26" s="62"/>
      <c r="B26" s="62"/>
      <c r="C26" s="62"/>
      <c r="D26" s="62"/>
      <c r="E26" s="62"/>
      <c r="F26" s="62"/>
    </row>
    <row r="27" spans="1:6" ht="18.75" x14ac:dyDescent="0.3">
      <c r="A27" s="62"/>
      <c r="B27" s="62"/>
      <c r="C27" s="62"/>
      <c r="D27" s="62"/>
      <c r="E27" s="62"/>
      <c r="F27" s="62"/>
    </row>
    <row r="28" spans="1:6" ht="18.75" x14ac:dyDescent="0.3">
      <c r="A28" s="62"/>
      <c r="B28" s="62"/>
      <c r="C28" s="62"/>
      <c r="D28" s="62"/>
      <c r="E28" s="62"/>
      <c r="F28" s="62"/>
    </row>
    <row r="29" spans="1:6" ht="18.75" x14ac:dyDescent="0.3">
      <c r="A29" s="62"/>
      <c r="B29" s="62"/>
      <c r="C29" s="62"/>
      <c r="D29" s="62"/>
      <c r="E29" s="62"/>
      <c r="F29" s="62"/>
    </row>
    <row r="30" spans="1:6" ht="18.75" x14ac:dyDescent="0.3">
      <c r="A30" s="74" t="s">
        <v>451</v>
      </c>
      <c r="B30" s="69">
        <v>2020</v>
      </c>
      <c r="C30" s="69">
        <v>2021</v>
      </c>
      <c r="D30" s="69">
        <v>2022</v>
      </c>
      <c r="E30" s="70">
        <v>2023</v>
      </c>
      <c r="F30" s="69">
        <v>2024</v>
      </c>
    </row>
    <row r="31" spans="1:6" ht="18.75" x14ac:dyDescent="0.3">
      <c r="A31" s="71" t="str">
        <f>+A16</f>
        <v>Boyacá</v>
      </c>
      <c r="B31" s="72">
        <f>_xlfn.XLOOKUP($B$2,Tabla2[Departamento],Tabla2[PIBpc_2020],"No aplica")</f>
        <v>21061238.629707467</v>
      </c>
      <c r="C31" s="72">
        <f>_xlfn.XLOOKUP($B$2,Tabla2[Departamento],Tabla2[PIBpc_2021],"No aplica")</f>
        <v>24516384.990587588</v>
      </c>
      <c r="D31" s="72">
        <f>_xlfn.XLOOKUP($B$2,Tabla2[Departamento],Tabla2[PIBpc_2022],"No aplica")</f>
        <v>30679467.886540789</v>
      </c>
      <c r="E31" s="72">
        <f>_xlfn.XLOOKUP($B$2,Tabla2[Departamento],Tabla2[PIBpc_2023],"No aplica")</f>
        <v>32550983.375071935</v>
      </c>
      <c r="F31" s="72">
        <f>_xlfn.XLOOKUP($B$2,Tabla2[Departamento],Tabla2[PIBpc_2024],"No aplica")</f>
        <v>34476428.650504656</v>
      </c>
    </row>
    <row r="32" spans="1:6" ht="18.75" x14ac:dyDescent="0.3">
      <c r="A32" s="71" t="str">
        <f t="shared" ref="A32:A33" si="7">+A17</f>
        <v>Valle del Cauca</v>
      </c>
      <c r="B32" s="72">
        <f>_xlfn.XLOOKUP($D$2,Tabla2[Departamento],Tabla2[PIBpc_2020],"No aplica")</f>
        <v>21847923.806332476</v>
      </c>
      <c r="C32" s="72">
        <f>_xlfn.XLOOKUP($D$2,Tabla2[Departamento],Tabla2[PIBpc_2021],"No aplica")</f>
        <v>25261254.689502876</v>
      </c>
      <c r="D32" s="72">
        <f>_xlfn.XLOOKUP($D$2,Tabla2[Departamento],Tabla2[PIBpc_2022],"No aplica")</f>
        <v>30448844.578981493</v>
      </c>
      <c r="E32" s="72">
        <f>_xlfn.XLOOKUP($D$2,Tabla2[Departamento],Tabla2[PIBpc_2023],"No aplica")</f>
        <v>33109723.623514898</v>
      </c>
      <c r="F32" s="72">
        <f>_xlfn.XLOOKUP($D$2,Tabla2[Departamento],Tabla2[PIBpc_2024],"No aplica")</f>
        <v>35794178.931781851</v>
      </c>
    </row>
    <row r="33" spans="1:6" ht="18.75" x14ac:dyDescent="0.3">
      <c r="A33" s="71" t="str">
        <f t="shared" si="7"/>
        <v>Colombia</v>
      </c>
      <c r="B33" s="72">
        <f>_xlfn.XLOOKUP("Colombia",Tabla2[Departamento],Tabla2[PIBpc_2020],"No aplica")</f>
        <v>19807927</v>
      </c>
      <c r="C33" s="72">
        <f>_xlfn.XLOOKUP("Colombia",Tabla2[Departamento],Tabla2[PIBpc_2021],"No aplica")</f>
        <v>23331283</v>
      </c>
      <c r="D33" s="72">
        <f>_xlfn.XLOOKUP("Colombia",Tabla2[Departamento],Tabla2[PIBpc_2022],"No aplica")</f>
        <v>28463668</v>
      </c>
      <c r="E33" s="72">
        <f>_xlfn.XLOOKUP("Colombia",Tabla2[Departamento],Tabla2[PIBpc_2023],"No aplica")</f>
        <v>30346581</v>
      </c>
      <c r="F33" s="72">
        <f>_xlfn.XLOOKUP("Colombia",Tabla2[Departamento],Tabla2[PIBpc_2024],"No aplica")</f>
        <v>32382889</v>
      </c>
    </row>
    <row r="34" spans="1:6" ht="18.75" x14ac:dyDescent="0.3">
      <c r="A34" s="62" t="str">
        <f>+A31</f>
        <v>Boyacá</v>
      </c>
      <c r="B34" s="62"/>
      <c r="C34" s="73">
        <f>+(C31-B31)/B31</f>
        <v>0.1640523818008757</v>
      </c>
      <c r="D34" s="73">
        <f t="shared" ref="D34:F34" si="8">+(D31-C31)/C31</f>
        <v>0.25138628302334753</v>
      </c>
      <c r="E34" s="73">
        <f t="shared" si="8"/>
        <v>6.1002214753280902E-2</v>
      </c>
      <c r="F34" s="73">
        <f t="shared" si="8"/>
        <v>5.9151677638939096E-2</v>
      </c>
    </row>
    <row r="35" spans="1:6" ht="18.75" x14ac:dyDescent="0.3">
      <c r="A35" s="62" t="str">
        <f t="shared" ref="A35:A36" si="9">+A32</f>
        <v>Valle del Cauca</v>
      </c>
      <c r="B35" s="62"/>
      <c r="C35" s="73">
        <f t="shared" ref="C35:F35" si="10">+(C32-B32)/B32</f>
        <v>0.15623136154388584</v>
      </c>
      <c r="D35" s="73">
        <f t="shared" si="10"/>
        <v>0.20535757044697706</v>
      </c>
      <c r="E35" s="73">
        <f t="shared" si="10"/>
        <v>8.7388506241388927E-2</v>
      </c>
      <c r="F35" s="73">
        <f t="shared" si="10"/>
        <v>8.1077551078089408E-2</v>
      </c>
    </row>
    <row r="36" spans="1:6" ht="18.75" x14ac:dyDescent="0.3">
      <c r="A36" s="62" t="str">
        <f t="shared" si="9"/>
        <v>Colombia</v>
      </c>
      <c r="B36" s="62"/>
      <c r="C36" s="73">
        <f t="shared" ref="C36:F36" si="11">+(C33-B33)/B33</f>
        <v>0.17787605941802997</v>
      </c>
      <c r="D36" s="73">
        <f t="shared" si="11"/>
        <v>0.21997868698433773</v>
      </c>
      <c r="E36" s="73">
        <f t="shared" si="11"/>
        <v>6.6151453143705866E-2</v>
      </c>
      <c r="F36" s="73">
        <f t="shared" si="11"/>
        <v>6.7101727209401288E-2</v>
      </c>
    </row>
    <row r="37" spans="1:6" ht="18.75" x14ac:dyDescent="0.3">
      <c r="A37" s="62"/>
      <c r="B37" s="62"/>
      <c r="C37" s="62"/>
      <c r="D37" s="62"/>
      <c r="E37" s="62"/>
      <c r="F37" s="62"/>
    </row>
    <row r="38" spans="1:6" ht="18.75" x14ac:dyDescent="0.3">
      <c r="A38" s="62"/>
      <c r="B38" s="62"/>
      <c r="C38" s="62"/>
      <c r="D38" s="62"/>
      <c r="E38" s="62"/>
      <c r="F38" s="62"/>
    </row>
    <row r="43" spans="1:6" ht="18.75" x14ac:dyDescent="0.3">
      <c r="A43" s="74" t="s">
        <v>452</v>
      </c>
      <c r="B43" s="69">
        <v>2020</v>
      </c>
      <c r="C43" s="69">
        <v>2021</v>
      </c>
      <c r="D43" s="69">
        <v>2022</v>
      </c>
      <c r="E43" s="70">
        <v>2023</v>
      </c>
      <c r="F43" s="69">
        <v>2024</v>
      </c>
    </row>
    <row r="44" spans="1:6" ht="18.75" x14ac:dyDescent="0.3">
      <c r="A44" s="71" t="str">
        <f>+A16</f>
        <v>Boyacá</v>
      </c>
      <c r="B44" s="72">
        <f>_xlfn.XLOOKUP($B$2,Tabla2[Departamento],Tabla2[ICD_2020],"No aplica")</f>
        <v>9</v>
      </c>
      <c r="C44" s="72">
        <f>_xlfn.XLOOKUP($B$2,Tabla2[Departamento],Tabla2[ICD_2021],"No aplica")</f>
        <v>10</v>
      </c>
      <c r="D44" s="72">
        <f>_xlfn.XLOOKUP($B$2,Tabla2[Departamento],Tabla2[ICD_2022],"No aplica")</f>
        <v>10</v>
      </c>
      <c r="E44" s="72">
        <f>_xlfn.XLOOKUP($B$2,Tabla2[Departamento],Tabla2[ICD_2023],"No aplica")</f>
        <v>10</v>
      </c>
      <c r="F44" s="72">
        <f>_xlfn.XLOOKUP($B$2,Tabla2[Departamento],Tabla2[ICD_2024],"No aplica")</f>
        <v>10</v>
      </c>
    </row>
    <row r="45" spans="1:6" ht="18.75" x14ac:dyDescent="0.3">
      <c r="A45" s="71" t="str">
        <f t="shared" ref="A45" si="12">+A17</f>
        <v>Valle del Cauca</v>
      </c>
      <c r="B45" s="72">
        <f>_xlfn.XLOOKUP($D$2,Tabla2[Departamento],Tabla2[ICD_2020],"No aplica")</f>
        <v>3</v>
      </c>
      <c r="C45" s="72">
        <f>_xlfn.XLOOKUP($D$2,Tabla2[Departamento],Tabla2[ICD_2021],"No aplica")</f>
        <v>4</v>
      </c>
      <c r="D45" s="72">
        <f>_xlfn.XLOOKUP($D$2,Tabla2[Departamento],Tabla2[ICD_2022],"No aplica")</f>
        <v>5</v>
      </c>
      <c r="E45" s="72">
        <f>_xlfn.XLOOKUP($D$2,Tabla2[Departamento],Tabla2[ICD_2023],"No aplica")</f>
        <v>5</v>
      </c>
      <c r="F45" s="72">
        <f>_xlfn.XLOOKUP($D$2,Tabla2[Departamento],Tabla2[ICD_2024],"No aplica")</f>
        <v>4</v>
      </c>
    </row>
    <row r="46" spans="1:6" ht="18.75" x14ac:dyDescent="0.3">
      <c r="A46" s="62"/>
      <c r="B46" s="62"/>
      <c r="C46" s="73"/>
      <c r="D46" s="73"/>
      <c r="E46" s="73"/>
      <c r="F46" s="73"/>
    </row>
    <row r="47" spans="1:6" ht="18.75" x14ac:dyDescent="0.3">
      <c r="A47" s="62"/>
      <c r="B47" s="62"/>
      <c r="C47" s="73"/>
      <c r="D47" s="73"/>
      <c r="E47" s="73"/>
      <c r="F47" s="73"/>
    </row>
    <row r="48" spans="1:6" ht="18.75" x14ac:dyDescent="0.3">
      <c r="A48" s="62"/>
      <c r="B48" s="62"/>
      <c r="C48" s="73"/>
      <c r="D48" s="73"/>
      <c r="E48" s="73"/>
      <c r="F48" s="73"/>
    </row>
    <row r="49" spans="1:6" ht="18.75" x14ac:dyDescent="0.3">
      <c r="A49" s="62"/>
      <c r="B49" s="62"/>
      <c r="C49" s="62"/>
      <c r="D49" s="62"/>
      <c r="E49" s="62"/>
      <c r="F49" s="62"/>
    </row>
    <row r="59" spans="1:6" ht="18.75" x14ac:dyDescent="0.3">
      <c r="A59" s="74" t="s">
        <v>453</v>
      </c>
      <c r="B59" s="69">
        <v>2020</v>
      </c>
      <c r="C59" s="69">
        <v>2021</v>
      </c>
      <c r="D59" s="69">
        <v>2022</v>
      </c>
      <c r="E59" s="70">
        <v>2023</v>
      </c>
      <c r="F59" s="69">
        <v>2024</v>
      </c>
    </row>
    <row r="60" spans="1:6" ht="18.75" x14ac:dyDescent="0.3">
      <c r="A60" s="71" t="str">
        <f>+A16</f>
        <v>Boyacá</v>
      </c>
      <c r="B60" s="72"/>
      <c r="C60" s="72">
        <f>_xlfn.XLOOKUP($B$2,Tabla2[Departamento],Tabla2[PbM$_2021],"No aplica")</f>
        <v>41.8</v>
      </c>
      <c r="D60" s="72">
        <f>_xlfn.XLOOKUP($B$2,Tabla2[Departamento],Tabla2[PbM$_2022],"No aplica")</f>
        <v>36.299999999999997</v>
      </c>
      <c r="E60" s="72">
        <f>_xlfn.XLOOKUP($B$2,Tabla2[Departamento],Tabla2[PbM$_2023],"No aplica")</f>
        <v>31.1</v>
      </c>
      <c r="F60" s="72"/>
    </row>
    <row r="61" spans="1:6" ht="18.75" x14ac:dyDescent="0.3">
      <c r="A61" s="71" t="str">
        <f t="shared" ref="A61:A62" si="13">+A17</f>
        <v>Valle del Cauca</v>
      </c>
      <c r="B61" s="72"/>
      <c r="C61" s="72">
        <f>_xlfn.XLOOKUP($D$2,Tabla2[Departamento],Tabla2[PbM$_2021],"No aplica")</f>
        <v>32.1</v>
      </c>
      <c r="D61" s="72">
        <f>_xlfn.XLOOKUP($D$2,Tabla2[Departamento],Tabla2[PbM$_2022],"No aplica")</f>
        <v>28.1</v>
      </c>
      <c r="E61" s="72">
        <f>_xlfn.XLOOKUP($D$2,Tabla2[Departamento],Tabla2[PbM$_2023],"No aplica")</f>
        <v>26.6</v>
      </c>
      <c r="F61" s="72"/>
    </row>
    <row r="62" spans="1:6" ht="18.75" x14ac:dyDescent="0.3">
      <c r="A62" s="71" t="str">
        <f t="shared" si="13"/>
        <v>Colombia</v>
      </c>
      <c r="B62" s="72"/>
      <c r="C62" s="72">
        <f>_xlfn.XLOOKUP("Colombia",Tabla2[Departamento],Tabla2[PbM$_2021],"No aplica")</f>
        <v>39.700000000000003</v>
      </c>
      <c r="D62" s="72">
        <f>_xlfn.XLOOKUP("Colombia",Tabla2[Departamento],Tabla2[PbM$_2022],"No aplica")</f>
        <v>36.6</v>
      </c>
      <c r="E62" s="72">
        <f>_xlfn.XLOOKUP("Colombia",Tabla2[Departamento],Tabla2[PbM$_2023],"No aplica")</f>
        <v>33</v>
      </c>
      <c r="F62" s="72"/>
    </row>
    <row r="63" spans="1:6" ht="18.75" x14ac:dyDescent="0.3">
      <c r="A63" s="62"/>
      <c r="B63" s="62"/>
      <c r="C63" s="73"/>
      <c r="D63" s="73"/>
      <c r="E63" s="73"/>
      <c r="F63" s="73"/>
    </row>
    <row r="64" spans="1:6" ht="18.75" x14ac:dyDescent="0.3">
      <c r="A64" s="74" t="s">
        <v>454</v>
      </c>
      <c r="B64" s="69">
        <v>2020</v>
      </c>
      <c r="C64" s="69">
        <v>2021</v>
      </c>
      <c r="D64" s="69">
        <v>2022</v>
      </c>
      <c r="E64" s="70">
        <v>2023</v>
      </c>
      <c r="F64" s="69">
        <v>2024</v>
      </c>
    </row>
    <row r="65" spans="1:6" ht="18.75" x14ac:dyDescent="0.3">
      <c r="A65" s="71" t="str">
        <f>+A60</f>
        <v>Boyacá</v>
      </c>
      <c r="B65" s="72">
        <f>_xlfn.XLOOKUP($B$2,Tabla2[Departamento],Tabla2[PbMd_2020],"No aplica")</f>
        <v>11.7</v>
      </c>
      <c r="C65" s="72">
        <f>_xlfn.XLOOKUP($B$2,Tabla2[Departamento],Tabla2[PbMd_2020],"No aplica")</f>
        <v>11.7</v>
      </c>
      <c r="D65" s="72">
        <f>_xlfn.XLOOKUP($B$2,Tabla2[Departamento],Tabla2[PbMd_2022],"No aplica")</f>
        <v>9.6</v>
      </c>
      <c r="E65" s="72">
        <f>_xlfn.XLOOKUP($B$2,Tabla2[Departamento],Tabla2[PbMd_2023],"No aplica")</f>
        <v>9.9</v>
      </c>
      <c r="F65" s="72">
        <f>_xlfn.XLOOKUP($B$2,Tabla2[Departamento],Tabla2[PbMd_2024],"No aplica")</f>
        <v>6.9</v>
      </c>
    </row>
    <row r="66" spans="1:6" ht="18.75" x14ac:dyDescent="0.3">
      <c r="A66" s="71" t="str">
        <f t="shared" ref="A66:A67" si="14">+A61</f>
        <v>Valle del Cauca</v>
      </c>
      <c r="B66" s="72">
        <f>_xlfn.XLOOKUP($D$2,Tabla2[Departamento],Tabla2[PbMd_2020],"No aplica")</f>
        <v>11.1</v>
      </c>
      <c r="C66" s="72">
        <f>_xlfn.XLOOKUP($D$2,Tabla2[Departamento],Tabla2[PbMd_2021],"No aplica")</f>
        <v>8.6</v>
      </c>
      <c r="D66" s="72">
        <f>_xlfn.XLOOKUP($D$2,Tabla2[Departamento],Tabla2[PbMd_2022],"No aplica")</f>
        <v>9.6999999999999993</v>
      </c>
      <c r="E66" s="72">
        <f>_xlfn.XLOOKUP($D$2,Tabla2[Departamento],Tabla2[PbMd_2023],"No aplica")</f>
        <v>7.2</v>
      </c>
      <c r="F66" s="72">
        <f>_xlfn.XLOOKUP($D$2,Tabla2[Departamento],Tabla2[PbMd_2024],"No aplica")</f>
        <v>6.2</v>
      </c>
    </row>
    <row r="67" spans="1:6" ht="18.75" x14ac:dyDescent="0.3">
      <c r="A67" s="71" t="str">
        <f t="shared" si="14"/>
        <v>Colombia</v>
      </c>
      <c r="B67" s="72">
        <f>_xlfn.XLOOKUP("Colombia",Tabla2[Departamento],Tabla2[PbMd_2020],"No aplica")</f>
        <v>41.4</v>
      </c>
      <c r="C67" s="72">
        <f>_xlfn.XLOOKUP("Colombia",Tabla2[Departamento],Tabla2[PbMd_2021],"No aplica")</f>
        <v>40.799999999999997</v>
      </c>
      <c r="D67" s="72">
        <f>_xlfn.XLOOKUP("Colombia",Tabla2[Departamento],Tabla2[PbMd_2022],"No aplica")</f>
        <v>40.299999999999997</v>
      </c>
      <c r="E67" s="72">
        <f>_xlfn.XLOOKUP("Colombia",Tabla2[Departamento],Tabla2[PbMd_2023],"No aplica")</f>
        <v>40.1</v>
      </c>
      <c r="F67" s="72">
        <f>_xlfn.XLOOKUP("Colombia",Tabla2[Departamento],Tabla2[PbMd_2024],"No aplica")</f>
        <v>40.200000000000003</v>
      </c>
    </row>
    <row r="72" spans="1:6" ht="18.75" x14ac:dyDescent="0.3">
      <c r="A72" s="74" t="s">
        <v>455</v>
      </c>
      <c r="B72" s="69">
        <v>2020</v>
      </c>
      <c r="C72" s="69">
        <v>2021</v>
      </c>
      <c r="D72" s="69">
        <v>2022</v>
      </c>
      <c r="E72" s="70">
        <v>2023</v>
      </c>
      <c r="F72" s="69">
        <v>2024</v>
      </c>
    </row>
    <row r="73" spans="1:6" ht="18.75" x14ac:dyDescent="0.3">
      <c r="A73" s="71" t="str">
        <f>+A16</f>
        <v>Boyacá</v>
      </c>
      <c r="B73" s="72"/>
      <c r="C73" s="75">
        <f>_xlfn.XLOOKUP($B$2,Tabla2[Departamento],Tabla2[Gini_2022],"No aplica")</f>
        <v>0.52900000000000003</v>
      </c>
      <c r="D73" s="75">
        <f>_xlfn.XLOOKUP($B$2,Tabla2[Departamento],Tabla2[Gini_2021],"No aplica")</f>
        <v>0.51600000000000001</v>
      </c>
      <c r="E73" s="75">
        <f>_xlfn.XLOOKUP($B$2,Tabla2[Departamento],Tabla2[Gini_2023],"No aplica")</f>
        <v>0.498</v>
      </c>
      <c r="F73" s="72"/>
    </row>
    <row r="74" spans="1:6" ht="18.75" x14ac:dyDescent="0.3">
      <c r="A74" s="71" t="str">
        <f t="shared" ref="A74:A75" si="15">+A17</f>
        <v>Valle del Cauca</v>
      </c>
      <c r="B74" s="72"/>
      <c r="C74" s="75">
        <f>_xlfn.XLOOKUP($D$2,Tabla2[Departamento],Tabla2[Gini_2021],"No aplica")</f>
        <v>0.52300000000000002</v>
      </c>
      <c r="D74" s="75">
        <f>_xlfn.XLOOKUP($D$2,Tabla2[Departamento],Tabla2[Gini_2022],"No aplica")</f>
        <v>0.52100000000000002</v>
      </c>
      <c r="E74" s="75">
        <f>_xlfn.XLOOKUP($D$2,Tabla2[Departamento],Tabla2[Gini_2023],"No aplica")</f>
        <v>0.51</v>
      </c>
      <c r="F74" s="72"/>
    </row>
    <row r="75" spans="1:6" ht="18.75" x14ac:dyDescent="0.3">
      <c r="A75" s="71" t="str">
        <f t="shared" si="15"/>
        <v>Colombia</v>
      </c>
      <c r="B75" s="72"/>
      <c r="C75" s="75">
        <f>_xlfn.XLOOKUP("Colombia",Tabla2[Departamento],Tabla2[Gini_2021],"No aplica")</f>
        <v>0.56299999999999994</v>
      </c>
      <c r="D75" s="75">
        <f>_xlfn.XLOOKUP("Colombia",Tabla2[Departamento],Tabla2[Gini_2022],"No aplica")</f>
        <v>0.55600000000000005</v>
      </c>
      <c r="E75" s="75">
        <f>_xlfn.XLOOKUP("Colombia",Tabla2[Departamento],Tabla2[Gini_2023],"No aplica")</f>
        <v>0.54600000000000004</v>
      </c>
      <c r="F75" s="72"/>
    </row>
    <row r="76" spans="1:6" ht="18.75" x14ac:dyDescent="0.3">
      <c r="A76" s="74"/>
      <c r="B76" s="69"/>
      <c r="C76" s="69"/>
      <c r="D76" s="69"/>
      <c r="E76" s="70"/>
      <c r="F76" s="69"/>
    </row>
    <row r="77" spans="1:6" ht="18.75" x14ac:dyDescent="0.3">
      <c r="A77" s="71"/>
      <c r="B77" s="72"/>
      <c r="C77" s="75"/>
      <c r="D77" s="75"/>
      <c r="E77" s="75"/>
      <c r="F77" s="72"/>
    </row>
    <row r="78" spans="1:6" ht="18.75" x14ac:dyDescent="0.3">
      <c r="A78" s="74" t="s">
        <v>456</v>
      </c>
      <c r="B78" s="69">
        <v>2020</v>
      </c>
      <c r="C78" s="69">
        <v>2021</v>
      </c>
      <c r="D78" s="69">
        <v>2022</v>
      </c>
      <c r="E78" s="70">
        <v>2023</v>
      </c>
      <c r="F78" s="69">
        <v>2024</v>
      </c>
    </row>
    <row r="79" spans="1:6" ht="18.75" x14ac:dyDescent="0.3">
      <c r="A79" s="71" t="str">
        <f>+A73</f>
        <v>Boyacá</v>
      </c>
      <c r="B79" s="75">
        <f>_xlfn.XLOOKUP($B$2,Tabla2[Departamento],Tabla2[TD_2020],"No aplica")</f>
        <v>11.91126495</v>
      </c>
      <c r="C79" s="75">
        <f>_xlfn.XLOOKUP($B$2,Tabla2[Departamento],Tabla2[TD_2021],"No aplica")</f>
        <v>12.006195023</v>
      </c>
      <c r="D79" s="75">
        <f>_xlfn.XLOOKUP($B$2,Tabla2[Departamento],Tabla2[TD_2022],"No aplica")</f>
        <v>10.657177337</v>
      </c>
      <c r="E79" s="75">
        <f>_xlfn.XLOOKUP($B$2,Tabla2[Departamento],Tabla2[TD_2023],"No aplica")</f>
        <v>9.899819742</v>
      </c>
      <c r="F79" s="75">
        <f>_xlfn.XLOOKUP($B$2,Tabla2[Departamento],Tabla2[TD_2024],"No aplica")</f>
        <v>8.6725650519999995</v>
      </c>
    </row>
    <row r="80" spans="1:6" ht="18.75" x14ac:dyDescent="0.3">
      <c r="A80" s="71" t="str">
        <f t="shared" ref="A80:A81" si="16">+A74</f>
        <v>Valle del Cauca</v>
      </c>
      <c r="B80" s="75">
        <f>_xlfn.XLOOKUP($D$2,Tabla2[Departamento],Tabla2[TD_2020],"No aplica")</f>
        <v>20.956546081999999</v>
      </c>
      <c r="C80" s="75">
        <f>_xlfn.XLOOKUP($D$2,Tabla2[Departamento],Tabla2[TD_2021],"No aplica")</f>
        <v>16.531417978</v>
      </c>
      <c r="D80" s="75">
        <f>_xlfn.XLOOKUP($D$2,Tabla2[Departamento],Tabla2[TD_2022],"No aplica")</f>
        <v>13.234388320000001</v>
      </c>
      <c r="E80" s="75">
        <f>_xlfn.XLOOKUP($D$2,Tabla2[Departamento],Tabla2[TD_2023],"No aplica")</f>
        <v>11.722654166</v>
      </c>
      <c r="F80" s="75">
        <f>_xlfn.XLOOKUP($D$2,Tabla2[Departamento],Tabla2[TD_2024],"No aplica")</f>
        <v>12.072426023</v>
      </c>
    </row>
    <row r="81" spans="1:6" ht="18.75" x14ac:dyDescent="0.3">
      <c r="A81" s="71" t="str">
        <f t="shared" si="16"/>
        <v>Colombia</v>
      </c>
      <c r="B81" s="75">
        <f>_xlfn.XLOOKUP("Colombia",Tabla2[Departamento],Tabla2[TD_2020],"No aplica")</f>
        <v>14.770331037006226</v>
      </c>
      <c r="C81" s="75">
        <f>_xlfn.XLOOKUP("Colombia",Tabla2[Departamento],Tabla2[TD_2021],"No aplica")</f>
        <v>11.836527151616345</v>
      </c>
      <c r="D81" s="75">
        <f>_xlfn.XLOOKUP("Colombia",Tabla2[Departamento],Tabla2[TD_2021],"No aplica")</f>
        <v>11.836527151616345</v>
      </c>
      <c r="E81" s="75">
        <f>_xlfn.XLOOKUP("Colombia",Tabla2[Departamento],Tabla2[TD_2023],"No aplica")</f>
        <v>10.507457305613837</v>
      </c>
      <c r="F81" s="75">
        <f>_xlfn.XLOOKUP("Colombia",Tabla2[Departamento],Tabla2[TD_2024],"No aplica")</f>
        <v>9.5444512973352573</v>
      </c>
    </row>
    <row r="83" spans="1:6" ht="1.5" customHeight="1" x14ac:dyDescent="0.25"/>
  </sheetData>
  <sheetProtection algorithmName="SHA-512" hashValue="N/EHnOmy2n1dAnI9zcC/PkzteuFoXZTvyJvULH4OXjgsSAkezxLGFaCZDRO4aRMephjuHxfrabdiq1oAyVz+EA==" saltValue="gQFbgA65McQFepYR5D/Nsg==" spinCount="100000" sheet="1" objects="1" scenarios="1" selectLockedCells="1"/>
  <mergeCells count="2">
    <mergeCell ref="J2:M2"/>
    <mergeCell ref="A1:F1"/>
  </mergeCells>
  <printOptions horizontalCentered="1"/>
  <pageMargins left="0.70866141732283472" right="0.70866141732283472" top="0.74803149606299213" bottom="0.74803149606299213" header="0.31496062992125984" footer="0.31496062992125984"/>
  <pageSetup paperSize="5" orientation="landscape" r:id="rId1"/>
  <headerFooter>
    <oddHeader>&amp;CCámara de Comercio de Tunja, Cámara de Comercio de Duitama y Cámara de Comercio de Sogamoso</oddHeader>
    <oddFooter>&amp;LHermes Castro&amp;CPágina &amp;P&amp;R&amp;D</oddFooter>
  </headerFooter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CFA2FAD-CBCF-4111-9FBA-2E8FF858B978}">
          <x14:formula1>
            <xm:f>BaseBoy!$A$2:$A$35</xm:f>
          </x14:formula1>
          <xm:sqref>B2 D2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BF5403-25E6-4F5A-84B6-D72F155B05CB}">
  <sheetPr>
    <tabColor theme="2" tint="-0.499984740745262"/>
  </sheetPr>
  <dimension ref="A1:T25"/>
  <sheetViews>
    <sheetView topLeftCell="D10" zoomScaleNormal="100" workbookViewId="0">
      <selection activeCell="G3" sqref="G3"/>
    </sheetView>
  </sheetViews>
  <sheetFormatPr baseColWidth="10" defaultRowHeight="15" x14ac:dyDescent="0.25"/>
  <cols>
    <col min="1" max="1" width="31" style="77" customWidth="1"/>
    <col min="2" max="2" width="14.140625" style="77" customWidth="1"/>
    <col min="3" max="3" width="15.28515625" style="77" customWidth="1"/>
    <col min="4" max="4" width="13.85546875" style="77" customWidth="1"/>
    <col min="5" max="5" width="10.28515625" style="77" customWidth="1"/>
    <col min="6" max="6" width="9.5703125" style="77" customWidth="1"/>
    <col min="7" max="7" width="14.85546875" style="77" customWidth="1"/>
    <col min="8" max="9" width="10.7109375" style="77" customWidth="1"/>
    <col min="10" max="16384" width="11.42578125" style="77"/>
  </cols>
  <sheetData>
    <row r="1" spans="1:20" ht="28.5" customHeight="1" x14ac:dyDescent="0.25">
      <c r="A1" s="165" t="s">
        <v>518</v>
      </c>
      <c r="B1" s="165"/>
      <c r="C1" s="165"/>
      <c r="D1" s="165"/>
      <c r="E1" s="165"/>
      <c r="F1" s="165"/>
      <c r="G1" s="165"/>
      <c r="H1" s="165"/>
      <c r="I1" s="165"/>
      <c r="J1" s="163" t="str">
        <f>+Q2</f>
        <v>Renovaciones Cámara de Comercio de Duitama</v>
      </c>
      <c r="K1" s="163"/>
      <c r="L1" s="163"/>
      <c r="M1" s="163"/>
      <c r="N1" s="163"/>
      <c r="O1" s="134"/>
      <c r="P1" s="163" t="str">
        <f>+R2</f>
        <v>Renovaciones Cámara de Comercio de Tunja</v>
      </c>
      <c r="Q1" s="163"/>
      <c r="R1" s="163"/>
      <c r="S1" s="163"/>
      <c r="T1" s="163"/>
    </row>
    <row r="2" spans="1:20" ht="29.25" customHeight="1" x14ac:dyDescent="0.25">
      <c r="A2" s="166" t="s">
        <v>519</v>
      </c>
      <c r="B2" s="166"/>
      <c r="C2" s="166"/>
      <c r="D2" s="166"/>
      <c r="E2" s="166"/>
      <c r="F2" s="166"/>
      <c r="G2" s="166"/>
      <c r="H2" s="166"/>
      <c r="I2" s="166"/>
      <c r="J2" s="128" t="s">
        <v>521</v>
      </c>
      <c r="K2" s="128" t="s">
        <v>261</v>
      </c>
      <c r="L2" s="128" t="s">
        <v>262</v>
      </c>
      <c r="M2" s="128" t="s">
        <v>263</v>
      </c>
      <c r="N2" s="128" t="s">
        <v>261</v>
      </c>
      <c r="O2" s="128" t="s">
        <v>262</v>
      </c>
      <c r="P2" s="128" t="s">
        <v>263</v>
      </c>
      <c r="Q2" s="129" t="str">
        <f>B4&amp;" Cámara de Comercio de "&amp;C3</f>
        <v>Renovaciones Cámara de Comercio de Duitama</v>
      </c>
      <c r="R2" s="129" t="str">
        <f>D4&amp;" Cámara de Comercio de "&amp;G3</f>
        <v>Renovaciones Cámara de Comercio de Tunja</v>
      </c>
    </row>
    <row r="3" spans="1:20" ht="15.75" x14ac:dyDescent="0.25">
      <c r="A3" s="164" t="s">
        <v>523</v>
      </c>
      <c r="B3" s="164"/>
      <c r="C3" s="135" t="s">
        <v>74</v>
      </c>
      <c r="D3" s="164" t="s">
        <v>524</v>
      </c>
      <c r="E3" s="164"/>
      <c r="F3" s="164"/>
      <c r="G3" s="135" t="s">
        <v>241</v>
      </c>
      <c r="H3" s="127"/>
      <c r="I3" s="127"/>
      <c r="J3" s="128" t="s">
        <v>496</v>
      </c>
      <c r="K3" s="130" cm="1">
        <f t="array" ref="K3">_xlfn.IFS($C$3="Tunja",DatoActi!C22,$C$3="Duitama",DatoActi!F22,$C$3="sogamoso",DatoActi!I22,$C$3="Departamento",DatoActi!L22)</f>
        <v>2032</v>
      </c>
      <c r="L3" s="130" cm="1">
        <f t="array" ref="L3">_xlfn.IFS($C$3="Tunja",DatoActi!D22,$C$3="Duitama",DatoActi!G22,$C$3="sogamoso",DatoActi!J22,$C$3="Departamento",DatoActi!M22)</f>
        <v>12630</v>
      </c>
      <c r="M3" s="130" cm="1">
        <f t="array" ref="M3">_xlfn.IFS($C$3="Tunja",DatoActi!E22,$C$3="Duitama",DatoActi!H22,$C$3="sogamoso",DatoActi!K22,$C$3="Departamento",DatoActi!N22)</f>
        <v>1988</v>
      </c>
      <c r="N3" s="130" cm="1">
        <f t="array" ref="N3">_xlfn.IFS($G$3="Tunja",DatoActi!C22,$G$3="Duitama",DatoActi!F22,$G$3="sogamoso",DatoActi!I22,$G$3="Departamento",DatoActi!L22)</f>
        <v>5038</v>
      </c>
      <c r="O3" s="130" cm="1">
        <f t="array" ref="O3">_xlfn.IFS($G$3="Tunja",DatoActi!D22,$G$3="Duitama",DatoActi!G22,$G$3="sogamoso",DatoActi!J22,$G$3="Departamento",DatoActi!M22)</f>
        <v>19278</v>
      </c>
      <c r="P3" s="130" cm="1">
        <f t="array" ref="P3">_xlfn.IFS($G$3="Tunja",DatoActi!E22,$G$3="Duitama",DatoActi!H22,$G$3="sogamoso",DatoActi!K22,$G$3="Departamento",DatoActi!N22)</f>
        <v>5484</v>
      </c>
      <c r="Q3" s="131" cm="1">
        <f t="array" ref="Q3">_xlfn.IFS($B$4="Matrículas",K3,$B$4="Renovaciones",L3,$B$4="Cancelaciones",M3)</f>
        <v>12630</v>
      </c>
      <c r="R3" s="131" cm="1">
        <f t="array" ref="R3">_xlfn.IFS($D$4="Matrículas",N3,$D$4="Renovaciones",O3,$D$4="Cancelaciones",P3)</f>
        <v>19278</v>
      </c>
    </row>
    <row r="4" spans="1:20" ht="15.75" x14ac:dyDescent="0.25">
      <c r="A4" s="126" t="s">
        <v>522</v>
      </c>
      <c r="B4" s="135" t="s">
        <v>262</v>
      </c>
      <c r="C4" s="126" t="s">
        <v>520</v>
      </c>
      <c r="D4" s="135" t="s">
        <v>262</v>
      </c>
      <c r="E4" s="126"/>
      <c r="F4" s="126"/>
      <c r="G4" s="126"/>
      <c r="H4" s="127"/>
      <c r="I4" s="127"/>
      <c r="J4" s="128" t="s">
        <v>497</v>
      </c>
      <c r="K4" s="130" cm="1">
        <f t="array" ref="K4">_xlfn.IFS($C$3="Tunja",DatoActi!C23,$C$3="Duitama",DatoActi!F23,$C$3="sogamoso",DatoActi!I23,$C$3="Departamento",DatoActi!L23)</f>
        <v>4</v>
      </c>
      <c r="L4" s="130" cm="1">
        <f t="array" ref="L4">_xlfn.IFS($C$3="Tunja",DatoActi!D23,$C$3="Duitama",DatoActi!G23,$C$3="sogamoso",DatoActi!J23,$C$3="Departamento",DatoActi!M23)</f>
        <v>180</v>
      </c>
      <c r="M4" s="130" cm="1">
        <f t="array" ref="M4">_xlfn.IFS($C$3="Tunja",DatoActi!E23,$C$3="Duitama",DatoActi!H23,$C$3="sogamoso",DatoActi!K23,$C$3="Departamento",DatoActi!N23)</f>
        <v>2</v>
      </c>
      <c r="N4" s="130" cm="1">
        <f t="array" ref="N4">_xlfn.IFS($G$3="Tunja",DatoActi!C23,$G$3="Duitama",DatoActi!F23,$G$3="sogamoso",DatoActi!I23,$G$3="Departamento",DatoActi!L23)</f>
        <v>9</v>
      </c>
      <c r="O4" s="130" cm="1">
        <f t="array" ref="O4">_xlfn.IFS($G$3="Tunja",DatoActi!D23,$G$3="Duitama",DatoActi!G23,$G$3="sogamoso",DatoActi!J23,$G$3="Departamento",DatoActi!M23)</f>
        <v>209</v>
      </c>
      <c r="P4" s="130" cm="1">
        <f t="array" ref="P4">_xlfn.IFS($G$3="Tunja",DatoActi!E23,$G$3="Duitama",DatoActi!H23,$G$3="sogamoso",DatoActi!K23,$G$3="Departamento",DatoActi!N23)</f>
        <v>6</v>
      </c>
      <c r="Q4" s="131" cm="1">
        <f t="array" ref="Q4">_xlfn.IFS($B$4="Matrículas",K4,$B$4="Renovaciones",L4,$B$4="Cancelaciones",M4)</f>
        <v>180</v>
      </c>
      <c r="R4" s="131" cm="1">
        <f t="array" ref="R4">_xlfn.IFS($D$4="Matrículas",N4,$D$4="Renovaciones",O4,$D$4="Cancelaciones",P4)</f>
        <v>209</v>
      </c>
    </row>
    <row r="5" spans="1:20" x14ac:dyDescent="0.25">
      <c r="A5" s="125"/>
      <c r="B5" s="125"/>
      <c r="C5" s="125"/>
      <c r="D5" s="125"/>
      <c r="E5" s="125"/>
      <c r="F5" s="125"/>
      <c r="G5" s="125"/>
      <c r="H5" s="125"/>
      <c r="I5" s="125"/>
      <c r="J5" s="128" t="s">
        <v>498</v>
      </c>
      <c r="K5" s="130" cm="1">
        <f t="array" ref="K5">_xlfn.IFS($C$3="Tunja",DatoActi!C24,$C$3="Duitama",DatoActi!F24,$C$3="sogamoso",DatoActi!I24,$C$3="Departamento",DatoActi!L24)</f>
        <v>0</v>
      </c>
      <c r="L5" s="130" cm="1">
        <f t="array" ref="L5">_xlfn.IFS($C$3="Tunja",DatoActi!D24,$C$3="Duitama",DatoActi!G24,$C$3="sogamoso",DatoActi!J24,$C$3="Departamento",DatoActi!M24)</f>
        <v>28</v>
      </c>
      <c r="M5" s="130" cm="1">
        <f t="array" ref="M5">_xlfn.IFS($C$3="Tunja",DatoActi!E24,$C$3="Duitama",DatoActi!H24,$C$3="sogamoso",DatoActi!K24,$C$3="Departamento",DatoActi!N24)</f>
        <v>3</v>
      </c>
      <c r="N5" s="130" cm="1">
        <f t="array" ref="N5">_xlfn.IFS($G$3="Tunja",DatoActi!C24,$G$3="Duitama",DatoActi!F24,$G$3="sogamoso",DatoActi!I24,$G$3="Departamento",DatoActi!L24)</f>
        <v>0</v>
      </c>
      <c r="O5" s="130" cm="1">
        <f t="array" ref="O5">_xlfn.IFS($G$3="Tunja",DatoActi!D24,$G$3="Duitama",DatoActi!G24,$G$3="sogamoso",DatoActi!J24,$G$3="Departamento",DatoActi!M24)</f>
        <v>47</v>
      </c>
      <c r="P5" s="130" cm="1">
        <f t="array" ref="P5">_xlfn.IFS($G$3="Tunja",DatoActi!E24,$G$3="Duitama",DatoActi!H24,$G$3="sogamoso",DatoActi!K24,$G$3="Departamento",DatoActi!N24)</f>
        <v>0</v>
      </c>
      <c r="Q5" s="131" cm="1">
        <f t="array" ref="Q5">_xlfn.IFS($B$4="Matrículas",K5,$B$4="Renovaciones",L5,$B$4="Cancelaciones",M5)</f>
        <v>28</v>
      </c>
      <c r="R5" s="131" cm="1">
        <f t="array" ref="R5">_xlfn.IFS($D$4="Matrículas",N5,$D$4="Renovaciones",O5,$D$4="Cancelaciones",P5)</f>
        <v>47</v>
      </c>
    </row>
    <row r="6" spans="1:20" ht="25.5" customHeight="1" x14ac:dyDescent="0.25">
      <c r="A6" s="77" t="s">
        <v>521</v>
      </c>
      <c r="B6" s="128" t="s">
        <v>261</v>
      </c>
      <c r="C6" s="128" t="s">
        <v>262</v>
      </c>
      <c r="D6" s="128" t="s">
        <v>263</v>
      </c>
      <c r="E6" s="128" t="s">
        <v>261</v>
      </c>
      <c r="F6" s="128" t="s">
        <v>262</v>
      </c>
      <c r="G6" s="128" t="s">
        <v>263</v>
      </c>
      <c r="H6" s="129" t="str">
        <f>B4&amp;" Cámara de Comercio de "&amp;C3</f>
        <v>Renovaciones Cámara de Comercio de Duitama</v>
      </c>
      <c r="I6" s="129" t="str">
        <f>D4&amp;" Cámara de Comercio de "&amp;G3</f>
        <v>Renovaciones Cámara de Comercio de Tunja</v>
      </c>
      <c r="J6" s="128" t="s">
        <v>499</v>
      </c>
      <c r="K6" s="130" cm="1">
        <f t="array" ref="K6">_xlfn.IFS($C$3="Tunja",DatoActi!C25,$C$3="Duitama",DatoActi!F25,$C$3="sogamoso",DatoActi!I25,$C$3="Departamento",DatoActi!L25)</f>
        <v>2</v>
      </c>
      <c r="L6" s="130" cm="1">
        <f t="array" ref="L6">_xlfn.IFS($C$3="Tunja",DatoActi!D25,$C$3="Duitama",DatoActi!G25,$C$3="sogamoso",DatoActi!J25,$C$3="Departamento",DatoActi!M25)</f>
        <v>19</v>
      </c>
      <c r="M6" s="130" cm="1">
        <f t="array" ref="M6">_xlfn.IFS($C$3="Tunja",DatoActi!E25,$C$3="Duitama",DatoActi!H25,$C$3="sogamoso",DatoActi!K25,$C$3="Departamento",DatoActi!N25)</f>
        <v>0</v>
      </c>
      <c r="N6" s="130" cm="1">
        <f t="array" ref="N6">_xlfn.IFS($G$3="Tunja",DatoActi!C25,$G$3="Duitama",DatoActi!F25,$G$3="sogamoso",DatoActi!I25,$G$3="Departamento",DatoActi!L25)</f>
        <v>2</v>
      </c>
      <c r="O6" s="130" cm="1">
        <f t="array" ref="O6">_xlfn.IFS($G$3="Tunja",DatoActi!D25,$G$3="Duitama",DatoActi!G25,$G$3="sogamoso",DatoActi!J25,$G$3="Departamento",DatoActi!M25)</f>
        <v>15</v>
      </c>
      <c r="P6" s="130" cm="1">
        <f t="array" ref="P6">_xlfn.IFS($G$3="Tunja",DatoActi!E25,$G$3="Duitama",DatoActi!H25,$G$3="sogamoso",DatoActi!K25,$G$3="Departamento",DatoActi!N25)</f>
        <v>0</v>
      </c>
      <c r="Q6" s="131" cm="1">
        <f t="array" ref="Q6">_xlfn.IFS($B$4="Matrículas",K6,$B$4="Renovaciones",L6,$B$4="Cancelaciones",M6)</f>
        <v>19</v>
      </c>
      <c r="R6" s="131" cm="1">
        <f t="array" ref="R6">_xlfn.IFS($D$4="Matrículas",N6,$D$4="Renovaciones",O6,$D$4="Cancelaciones",P6)</f>
        <v>15</v>
      </c>
    </row>
    <row r="7" spans="1:20" x14ac:dyDescent="0.25">
      <c r="A7" s="77" t="s">
        <v>459</v>
      </c>
      <c r="B7" s="130" cm="1">
        <f t="array" ref="B7">_xlfn.IFS($C$3="Tunja",DatoActi!C3,$C$3="Duitama",DatoActi!F3,$C$3="sogamoso",DatoActi!I3,$C$3="Departamento",DatoActi!L3)</f>
        <v>25</v>
      </c>
      <c r="C7" s="130" cm="1">
        <f t="array" ref="C7">_xlfn.IFS($C$3="Tunja",DatoActi!D3,$C$3="Duitama",DatoActi!G3,$C$3="sogamoso",DatoActi!J3,$C$3="Departamento",DatoActi!M3)</f>
        <v>218</v>
      </c>
      <c r="D7" s="130" cm="1">
        <f t="array" ref="D7">_xlfn.IFS($C$3="Tunja",DatoActi!E3,$C$3="Duitama",DatoActi!H3,$C$3="sogamoso",DatoActi!K3,$C$3="Departamento",DatoActi!N3)</f>
        <v>26</v>
      </c>
      <c r="E7" s="130" cm="1">
        <f t="array" ref="E7">_xlfn.IFS($G$3="Tunja",DatoActi!C3,$G$3="Duitama",DatoActi!F3,$G$3="sogamoso",DatoActi!I3,$G$3="Departamento",DatoActi!L3)</f>
        <v>103</v>
      </c>
      <c r="F7" s="130" cm="1">
        <f t="array" ref="F7">_xlfn.IFS($G$3="Tunja",DatoActi!D3,$G$3="Duitama",DatoActi!G3,$G$3="sogamoso",DatoActi!J3,$G$3="Departamento",DatoActi!M3)</f>
        <v>464</v>
      </c>
      <c r="G7" s="130" cm="1">
        <f t="array" ref="G7">_xlfn.IFS($G$3="Tunja",DatoActi!E3,$G$3="Duitama",DatoActi!H3,$G$3="sogamoso",DatoActi!K3,$G$3="Departamento",DatoActi!N3)</f>
        <v>90</v>
      </c>
      <c r="H7" s="131" cm="1">
        <f t="array" ref="H7">_xlfn.IFS($B$4="Matrículas",B7,$B$4="Renovaciones",C7,$B$4="Cancelaciones",D7)</f>
        <v>218</v>
      </c>
      <c r="I7" s="131" cm="1">
        <f t="array" ref="I7">_xlfn.IFS($D$4="Matrículas",E7,$D$4="Renovaciones",F7,$D$4="Cancelaciones",G7)</f>
        <v>464</v>
      </c>
      <c r="J7" s="128" t="s">
        <v>500</v>
      </c>
      <c r="K7" s="130" cm="1">
        <f t="array" ref="K7">_xlfn.IFS($C$3="Tunja",DatoActi!C26,$C$3="Duitama",DatoActi!F26,$C$3="sogamoso",DatoActi!I26,$C$3="Departamento",DatoActi!L26)</f>
        <v>0</v>
      </c>
      <c r="L7" s="130" cm="1">
        <f t="array" ref="L7">_xlfn.IFS($C$3="Tunja",DatoActi!D26,$C$3="Duitama",DatoActi!G26,$C$3="sogamoso",DatoActi!J26,$C$3="Departamento",DatoActi!M26)</f>
        <v>0</v>
      </c>
      <c r="M7" s="130" cm="1">
        <f t="array" ref="M7">_xlfn.IFS($C$3="Tunja",DatoActi!E26,$C$3="Duitama",DatoActi!H26,$C$3="sogamoso",DatoActi!K26,$C$3="Departamento",DatoActi!N26)</f>
        <v>0</v>
      </c>
      <c r="N7" s="130" cm="1">
        <f t="array" ref="N7">_xlfn.IFS($G$3="Tunja",DatoActi!C26,$G$3="Duitama",DatoActi!F26,$G$3="sogamoso",DatoActi!I26,$G$3="Departamento",DatoActi!L26)</f>
        <v>0</v>
      </c>
      <c r="O7" s="130" cm="1">
        <f t="array" ref="O7">_xlfn.IFS($G$3="Tunja",DatoActi!D26,$G$3="Duitama",DatoActi!G26,$G$3="sogamoso",DatoActi!J26,$G$3="Departamento",DatoActi!M26)</f>
        <v>2</v>
      </c>
      <c r="P7" s="130" cm="1">
        <f t="array" ref="P7">_xlfn.IFS($G$3="Tunja",DatoActi!E26,$G$3="Duitama",DatoActi!H26,$G$3="sogamoso",DatoActi!K26,$G$3="Departamento",DatoActi!N26)</f>
        <v>0</v>
      </c>
      <c r="Q7" s="131" cm="1">
        <f t="array" ref="Q7">_xlfn.IFS($B$4="Matrículas",K7,$B$4="Renovaciones",L7,$B$4="Cancelaciones",M7)</f>
        <v>0</v>
      </c>
      <c r="R7" s="131" cm="1">
        <f t="array" ref="R7">_xlfn.IFS($D$4="Matrículas",N7,$D$4="Renovaciones",O7,$D$4="Cancelaciones",P7)</f>
        <v>2</v>
      </c>
      <c r="S7" s="128"/>
    </row>
    <row r="8" spans="1:20" x14ac:dyDescent="0.25">
      <c r="A8" s="77" t="s">
        <v>461</v>
      </c>
      <c r="B8" s="130" cm="1">
        <f t="array" ref="B8">_xlfn.IFS($C$3="Tunja",DatoActi!C4,$C$3="Duitama",DatoActi!F4,$C$3="sogamoso",DatoActi!I4,$C$3="Departamento",DatoActi!L4)</f>
        <v>46</v>
      </c>
      <c r="C8" s="130" cm="1">
        <f t="array" ref="C8">_xlfn.IFS($C$3="Tunja",DatoActi!D4,$C$3="Duitama",DatoActi!G4,$C$3="sogamoso",DatoActi!J4,$C$3="Departamento",DatoActi!M4)</f>
        <v>426</v>
      </c>
      <c r="D8" s="130" cm="1">
        <f t="array" ref="D8">_xlfn.IFS($C$3="Tunja",DatoActi!E4,$C$3="Duitama",DatoActi!H4,$C$3="sogamoso",DatoActi!K4,$C$3="Departamento",DatoActi!N4)</f>
        <v>42</v>
      </c>
      <c r="E8" s="130" cm="1">
        <f t="array" ref="E8">_xlfn.IFS($G$3="Tunja",DatoActi!C4,$G$3="Duitama",DatoActi!F4,$G$3="sogamoso",DatoActi!I4,$G$3="Departamento",DatoActi!L4)</f>
        <v>39</v>
      </c>
      <c r="F8" s="130" cm="1">
        <f t="array" ref="F8">_xlfn.IFS($G$3="Tunja",DatoActi!D4,$G$3="Duitama",DatoActi!G4,$G$3="sogamoso",DatoActi!J4,$G$3="Departamento",DatoActi!M4)</f>
        <v>191</v>
      </c>
      <c r="G8" s="130" cm="1">
        <f t="array" ref="G8">_xlfn.IFS($G$3="Tunja",DatoActi!E4,$G$3="Duitama",DatoActi!H4,$G$3="sogamoso",DatoActi!K4,$G$3="Departamento",DatoActi!N4)</f>
        <v>55</v>
      </c>
      <c r="H8" s="131" cm="1">
        <f t="array" ref="H8">_xlfn.IFS($B$4="Matrículas",B8,$B$4="Renovaciones",C8,$B$4="Cancelaciones",D8)</f>
        <v>426</v>
      </c>
      <c r="I8" s="131" cm="1">
        <f t="array" ref="I8">_xlfn.IFS($D$4="Matrículas",E8,$D$4="Renovaciones",F8,$D$4="Cancelaciones",G8)</f>
        <v>191</v>
      </c>
      <c r="J8" s="128" t="s">
        <v>501</v>
      </c>
      <c r="K8" s="130" cm="1">
        <f t="array" ref="K8">_xlfn.IFS($C$3="Tunja",DatoActi!C27,$C$3="Duitama",DatoActi!F27,$C$3="sogamoso",DatoActi!I27,$C$3="Departamento",DatoActi!L27)</f>
        <v>0</v>
      </c>
      <c r="L8" s="130" cm="1">
        <f t="array" ref="L8">_xlfn.IFS($C$3="Tunja",DatoActi!D27,$C$3="Duitama",DatoActi!G27,$C$3="sogamoso",DatoActi!J27,$C$3="Departamento",DatoActi!M27)</f>
        <v>0</v>
      </c>
      <c r="M8" s="130" cm="1">
        <f t="array" ref="M8">_xlfn.IFS($C$3="Tunja",DatoActi!E27,$C$3="Duitama",DatoActi!H27,$C$3="sogamoso",DatoActi!K27,$C$3="Departamento",DatoActi!N27)</f>
        <v>0</v>
      </c>
      <c r="N8" s="130" cm="1">
        <f t="array" ref="N8">_xlfn.IFS($G$3="Tunja",DatoActi!C27,$G$3="Duitama",DatoActi!F27,$G$3="sogamoso",DatoActi!I27,$G$3="Departamento",DatoActi!L27)</f>
        <v>0</v>
      </c>
      <c r="O8" s="130" cm="1">
        <f t="array" ref="O8">_xlfn.IFS($G$3="Tunja",DatoActi!D27,$G$3="Duitama",DatoActi!G27,$G$3="sogamoso",DatoActi!J27,$G$3="Departamento",DatoActi!M27)</f>
        <v>6</v>
      </c>
      <c r="P8" s="130" cm="1">
        <f t="array" ref="P8">_xlfn.IFS($G$3="Tunja",DatoActi!E27,$G$3="Duitama",DatoActi!H27,$G$3="sogamoso",DatoActi!K27,$G$3="Departamento",DatoActi!N27)</f>
        <v>0</v>
      </c>
      <c r="Q8" s="131" cm="1">
        <f t="array" ref="Q8">_xlfn.IFS($B$4="Matrículas",K8,$B$4="Renovaciones",L8,$B$4="Cancelaciones",M8)</f>
        <v>0</v>
      </c>
      <c r="R8" s="131" cm="1">
        <f t="array" ref="R8">_xlfn.IFS($D$4="Matrículas",N8,$D$4="Renovaciones",O8,$D$4="Cancelaciones",P8)</f>
        <v>6</v>
      </c>
      <c r="S8" s="128"/>
    </row>
    <row r="9" spans="1:20" x14ac:dyDescent="0.25">
      <c r="A9" s="77" t="s">
        <v>463</v>
      </c>
      <c r="B9" s="130" cm="1">
        <f t="array" ref="B9">_xlfn.IFS($C$3="Tunja",DatoActi!C5,$C$3="Duitama",DatoActi!F5,$C$3="sogamoso",DatoActi!I5,$C$3="Departamento",DatoActi!L5)</f>
        <v>188</v>
      </c>
      <c r="C9" s="130" cm="1">
        <f t="array" ref="C9">_xlfn.IFS($C$3="Tunja",DatoActi!D5,$C$3="Duitama",DatoActi!G5,$C$3="sogamoso",DatoActi!J5,$C$3="Departamento",DatoActi!M5)</f>
        <v>1387</v>
      </c>
      <c r="D9" s="130" cm="1">
        <f t="array" ref="D9">_xlfn.IFS($C$3="Tunja",DatoActi!E5,$C$3="Duitama",DatoActi!H5,$C$3="sogamoso",DatoActi!K5,$C$3="Departamento",DatoActi!N5)</f>
        <v>153</v>
      </c>
      <c r="E9" s="130" cm="1">
        <f t="array" ref="E9">_xlfn.IFS($G$3="Tunja",DatoActi!C5,$G$3="Duitama",DatoActi!F5,$G$3="sogamoso",DatoActi!I5,$G$3="Departamento",DatoActi!L5)</f>
        <v>453</v>
      </c>
      <c r="F9" s="130" cm="1">
        <f t="array" ref="F9">_xlfn.IFS($G$3="Tunja",DatoActi!D5,$G$3="Duitama",DatoActi!G5,$G$3="sogamoso",DatoActi!J5,$G$3="Departamento",DatoActi!M5)</f>
        <v>1955</v>
      </c>
      <c r="G9" s="130" cm="1">
        <f t="array" ref="G9">_xlfn.IFS($G$3="Tunja",DatoActi!E5,$G$3="Duitama",DatoActi!H5,$G$3="sogamoso",DatoActi!K5,$G$3="Departamento",DatoActi!N5)</f>
        <v>387</v>
      </c>
      <c r="H9" s="131" cm="1">
        <f t="array" ref="H9">_xlfn.IFS($B$4="Matrículas",B9,$B$4="Renovaciones",C9,$B$4="Cancelaciones",D9)</f>
        <v>1387</v>
      </c>
      <c r="I9" s="131" cm="1">
        <f t="array" ref="I9">_xlfn.IFS($D$4="Matrículas",E9,$D$4="Renovaciones",F9,$D$4="Cancelaciones",G9)</f>
        <v>1955</v>
      </c>
      <c r="J9" s="128" t="s">
        <v>502</v>
      </c>
      <c r="K9" s="130" cm="1">
        <f t="array" ref="K9">_xlfn.IFS($C$3="Tunja",DatoActi!C28,$C$3="Duitama",DatoActi!F28,$C$3="sogamoso",DatoActi!I28,$C$3="Departamento",DatoActi!L28)</f>
        <v>0</v>
      </c>
      <c r="L9" s="130" cm="1">
        <f t="array" ref="L9">_xlfn.IFS($C$3="Tunja",DatoActi!D28,$C$3="Duitama",DatoActi!G28,$C$3="sogamoso",DatoActi!J28,$C$3="Departamento",DatoActi!M28)</f>
        <v>0</v>
      </c>
      <c r="M9" s="130" cm="1">
        <f t="array" ref="M9">_xlfn.IFS($C$3="Tunja",DatoActi!E28,$C$3="Duitama",DatoActi!H28,$C$3="sogamoso",DatoActi!K28,$C$3="Departamento",DatoActi!N28)</f>
        <v>0</v>
      </c>
      <c r="N9" s="130" cm="1">
        <f t="array" ref="N9">_xlfn.IFS($G$3="Tunja",DatoActi!C28,$G$3="Duitama",DatoActi!F28,$G$3="sogamoso",DatoActi!I28,$G$3="Departamento",DatoActi!L28)</f>
        <v>0</v>
      </c>
      <c r="O9" s="130" cm="1">
        <f t="array" ref="O9">_xlfn.IFS($G$3="Tunja",DatoActi!D28,$G$3="Duitama",DatoActi!G28,$G$3="sogamoso",DatoActi!J28,$G$3="Departamento",DatoActi!M28)</f>
        <v>1</v>
      </c>
      <c r="P9" s="130" cm="1">
        <f t="array" ref="P9">_xlfn.IFS($G$3="Tunja",DatoActi!E28,$G$3="Duitama",DatoActi!H28,$G$3="sogamoso",DatoActi!K28,$G$3="Departamento",DatoActi!N28)</f>
        <v>0</v>
      </c>
      <c r="Q9" s="131" cm="1">
        <f t="array" ref="Q9">_xlfn.IFS($B$4="Matrículas",K9,$B$4="Renovaciones",L9,$B$4="Cancelaciones",M9)</f>
        <v>0</v>
      </c>
      <c r="R9" s="131" cm="1">
        <f t="array" ref="R9">_xlfn.IFS($D$4="Matrículas",N9,$D$4="Renovaciones",O9,$D$4="Cancelaciones",P9)</f>
        <v>1</v>
      </c>
      <c r="S9" s="128"/>
    </row>
    <row r="10" spans="1:20" x14ac:dyDescent="0.25">
      <c r="A10" s="77" t="s">
        <v>465</v>
      </c>
      <c r="B10" s="130" cm="1">
        <f t="array" ref="B10">_xlfn.IFS($C$3="Tunja",DatoActi!C6,$C$3="Duitama",DatoActi!F6,$C$3="sogamoso",DatoActi!I6,$C$3="Departamento",DatoActi!L6)</f>
        <v>1</v>
      </c>
      <c r="C10" s="130" cm="1">
        <f t="array" ref="C10">_xlfn.IFS($C$3="Tunja",DatoActi!D6,$C$3="Duitama",DatoActi!G6,$C$3="sogamoso",DatoActi!J6,$C$3="Departamento",DatoActi!M6)</f>
        <v>9</v>
      </c>
      <c r="D10" s="130" cm="1">
        <f t="array" ref="D10">_xlfn.IFS($C$3="Tunja",DatoActi!E6,$C$3="Duitama",DatoActi!H6,$C$3="sogamoso",DatoActi!K6,$C$3="Departamento",DatoActi!N6)</f>
        <v>0</v>
      </c>
      <c r="E10" s="130" cm="1">
        <f t="array" ref="E10">_xlfn.IFS($G$3="Tunja",DatoActi!C6,$G$3="Duitama",DatoActi!F6,$G$3="sogamoso",DatoActi!I6,$G$3="Departamento",DatoActi!L6)</f>
        <v>4</v>
      </c>
      <c r="F10" s="130" cm="1">
        <f t="array" ref="F10">_xlfn.IFS($G$3="Tunja",DatoActi!D6,$G$3="Duitama",DatoActi!G6,$G$3="sogamoso",DatoActi!J6,$G$3="Departamento",DatoActi!M6)</f>
        <v>13</v>
      </c>
      <c r="G10" s="130" cm="1">
        <f t="array" ref="G10">_xlfn.IFS($G$3="Tunja",DatoActi!E6,$G$3="Duitama",DatoActi!H6,$G$3="sogamoso",DatoActi!K6,$G$3="Departamento",DatoActi!N6)</f>
        <v>2</v>
      </c>
      <c r="H10" s="131" cm="1">
        <f t="array" ref="H10">_xlfn.IFS($B$4="Matrículas",B10,$B$4="Renovaciones",C10,$B$4="Cancelaciones",D10)</f>
        <v>9</v>
      </c>
      <c r="I10" s="131" cm="1">
        <f t="array" ref="I10">_xlfn.IFS($D$4="Matrículas",E10,$D$4="Renovaciones",F10,$D$4="Cancelaciones",G10)</f>
        <v>13</v>
      </c>
      <c r="J10" s="128" t="s">
        <v>503</v>
      </c>
      <c r="K10" s="130" cm="1">
        <f t="array" ref="K10">_xlfn.IFS($C$3="Tunja",DatoActi!C29,$C$3="Duitama",DatoActi!F29,$C$3="sogamoso",DatoActi!I29,$C$3="Departamento",DatoActi!L29)</f>
        <v>0</v>
      </c>
      <c r="L10" s="130" cm="1">
        <f t="array" ref="L10">_xlfn.IFS($C$3="Tunja",DatoActi!D29,$C$3="Duitama",DatoActi!G29,$C$3="sogamoso",DatoActi!J29,$C$3="Departamento",DatoActi!M29)</f>
        <v>19</v>
      </c>
      <c r="M10" s="130" cm="1">
        <f t="array" ref="M10">_xlfn.IFS($C$3="Tunja",DatoActi!E29,$C$3="Duitama",DatoActi!H29,$C$3="sogamoso",DatoActi!K29,$C$3="Departamento",DatoActi!N29)</f>
        <v>1</v>
      </c>
      <c r="N10" s="130" cm="1">
        <f t="array" ref="N10">_xlfn.IFS($G$3="Tunja",DatoActi!C29,$G$3="Duitama",DatoActi!F29,$G$3="sogamoso",DatoActi!I29,$G$3="Departamento",DatoActi!L29)</f>
        <v>0</v>
      </c>
      <c r="O10" s="130" cm="1">
        <f t="array" ref="O10">_xlfn.IFS($G$3="Tunja",DatoActi!D29,$G$3="Duitama",DatoActi!G29,$G$3="sogamoso",DatoActi!J29,$G$3="Departamento",DatoActi!M29)</f>
        <v>32</v>
      </c>
      <c r="P10" s="130" cm="1">
        <f t="array" ref="P10">_xlfn.IFS($G$3="Tunja",DatoActi!E29,$G$3="Duitama",DatoActi!H29,$G$3="sogamoso",DatoActi!K29,$G$3="Departamento",DatoActi!N29)</f>
        <v>1</v>
      </c>
      <c r="Q10" s="131" cm="1">
        <f t="array" ref="Q10">_xlfn.IFS($B$4="Matrículas",K10,$B$4="Renovaciones",L10,$B$4="Cancelaciones",M10)</f>
        <v>19</v>
      </c>
      <c r="R10" s="131" cm="1">
        <f t="array" ref="R10">_xlfn.IFS($D$4="Matrículas",N10,$D$4="Renovaciones",O10,$D$4="Cancelaciones",P10)</f>
        <v>32</v>
      </c>
      <c r="S10" s="128"/>
    </row>
    <row r="11" spans="1:20" x14ac:dyDescent="0.25">
      <c r="A11" s="77" t="s">
        <v>467</v>
      </c>
      <c r="B11" s="130" cm="1">
        <f t="array" ref="B11">_xlfn.IFS($C$3="Tunja",DatoActi!C7,$C$3="Duitama",DatoActi!F7,$C$3="sogamoso",DatoActi!I7,$C$3="Departamento",DatoActi!L7)</f>
        <v>12</v>
      </c>
      <c r="C11" s="130" cm="1">
        <f t="array" ref="C11">_xlfn.IFS($C$3="Tunja",DatoActi!D7,$C$3="Duitama",DatoActi!G7,$C$3="sogamoso",DatoActi!J7,$C$3="Departamento",DatoActi!M7)</f>
        <v>215</v>
      </c>
      <c r="D11" s="130" cm="1">
        <f t="array" ref="D11">_xlfn.IFS($C$3="Tunja",DatoActi!E7,$C$3="Duitama",DatoActi!H7,$C$3="sogamoso",DatoActi!K7,$C$3="Departamento",DatoActi!N7)</f>
        <v>10</v>
      </c>
      <c r="E11" s="130" cm="1">
        <f t="array" ref="E11">_xlfn.IFS($G$3="Tunja",DatoActi!C7,$G$3="Duitama",DatoActi!F7,$G$3="sogamoso",DatoActi!I7,$G$3="Departamento",DatoActi!L7)</f>
        <v>32</v>
      </c>
      <c r="F11" s="130" cm="1">
        <f t="array" ref="F11">_xlfn.IFS($G$3="Tunja",DatoActi!D7,$G$3="Duitama",DatoActi!G7,$G$3="sogamoso",DatoActi!J7,$G$3="Departamento",DatoActi!M7)</f>
        <v>566</v>
      </c>
      <c r="G11" s="130" cm="1">
        <f t="array" ref="G11">_xlfn.IFS($G$3="Tunja",DatoActi!E7,$G$3="Duitama",DatoActi!H7,$G$3="sogamoso",DatoActi!K7,$G$3="Departamento",DatoActi!N7)</f>
        <v>22</v>
      </c>
      <c r="H11" s="131" cm="1">
        <f t="array" ref="H11">_xlfn.IFS($B$4="Matrículas",B11,$B$4="Renovaciones",C11,$B$4="Cancelaciones",D11)</f>
        <v>215</v>
      </c>
      <c r="I11" s="131" cm="1">
        <f t="array" ref="I11">_xlfn.IFS($D$4="Matrículas",E11,$D$4="Renovaciones",F11,$D$4="Cancelaciones",G11)</f>
        <v>566</v>
      </c>
      <c r="J11" s="128" t="s">
        <v>504</v>
      </c>
      <c r="K11" s="130" cm="1">
        <f t="array" ref="K11">_xlfn.IFS($C$3="Tunja",DatoActi!C30,$C$3="Duitama",DatoActi!F30,$C$3="sogamoso",DatoActi!I30,$C$3="Departamento",DatoActi!L30)</f>
        <v>61</v>
      </c>
      <c r="L11" s="130" cm="1">
        <f t="array" ref="L11">_xlfn.IFS($C$3="Tunja",DatoActi!D30,$C$3="Duitama",DatoActi!G30,$C$3="sogamoso",DatoActi!J30,$C$3="Departamento",DatoActi!M30)</f>
        <v>676</v>
      </c>
      <c r="M11" s="130" cm="1">
        <f t="array" ref="M11">_xlfn.IFS($C$3="Tunja",DatoActi!E30,$C$3="Duitama",DatoActi!H30,$C$3="sogamoso",DatoActi!K30,$C$3="Departamento",DatoActi!N30)</f>
        <v>14</v>
      </c>
      <c r="N11" s="130" cm="1">
        <f t="array" ref="N11">_xlfn.IFS($G$3="Tunja",DatoActi!C30,$G$3="Duitama",DatoActi!F30,$G$3="sogamoso",DatoActi!I30,$G$3="Departamento",DatoActi!L30)</f>
        <v>234</v>
      </c>
      <c r="O11" s="130" cm="1">
        <f t="array" ref="O11">_xlfn.IFS($G$3="Tunja",DatoActi!D30,$G$3="Duitama",DatoActi!G30,$G$3="sogamoso",DatoActi!J30,$G$3="Departamento",DatoActi!M30)</f>
        <v>1868</v>
      </c>
      <c r="P11" s="130" cm="1">
        <f t="array" ref="P11">_xlfn.IFS($G$3="Tunja",DatoActi!E30,$G$3="Duitama",DatoActi!H30,$G$3="sogamoso",DatoActi!K30,$G$3="Departamento",DatoActi!N30)</f>
        <v>32</v>
      </c>
      <c r="Q11" s="131" cm="1">
        <f t="array" ref="Q11">_xlfn.IFS($B$4="Matrículas",K11,$B$4="Renovaciones",L11,$B$4="Cancelaciones",M11)</f>
        <v>676</v>
      </c>
      <c r="R11" s="131" cm="1">
        <f t="array" ref="R11">_xlfn.IFS($D$4="Matrículas",N11,$D$4="Renovaciones",O11,$D$4="Cancelaciones",P11)</f>
        <v>1868</v>
      </c>
      <c r="S11" s="128"/>
    </row>
    <row r="12" spans="1:20" x14ac:dyDescent="0.25">
      <c r="A12" s="77" t="s">
        <v>469</v>
      </c>
      <c r="B12" s="130" cm="1">
        <f t="array" ref="B12">_xlfn.IFS($C$3="Tunja",DatoActi!C8,$C$3="Duitama",DatoActi!F8,$C$3="sogamoso",DatoActi!I8,$C$3="Departamento",DatoActi!L8)</f>
        <v>92</v>
      </c>
      <c r="C12" s="130" cm="1">
        <f t="array" ref="C12">_xlfn.IFS($C$3="Tunja",DatoActi!D8,$C$3="Duitama",DatoActi!G8,$C$3="sogamoso",DatoActi!J8,$C$3="Departamento",DatoActi!M8)</f>
        <v>534</v>
      </c>
      <c r="D12" s="130" cm="1">
        <f t="array" ref="D12">_xlfn.IFS($C$3="Tunja",DatoActi!E8,$C$3="Duitama",DatoActi!H8,$C$3="sogamoso",DatoActi!K8,$C$3="Departamento",DatoActi!N8)</f>
        <v>71</v>
      </c>
      <c r="E12" s="130" cm="1">
        <f t="array" ref="E12">_xlfn.IFS($G$3="Tunja",DatoActi!C8,$G$3="Duitama",DatoActi!F8,$G$3="sogamoso",DatoActi!I8,$G$3="Departamento",DatoActi!L8)</f>
        <v>240</v>
      </c>
      <c r="F12" s="130" cm="1">
        <f t="array" ref="F12">_xlfn.IFS($G$3="Tunja",DatoActi!D8,$G$3="Duitama",DatoActi!G8,$G$3="sogamoso",DatoActi!J8,$G$3="Departamento",DatoActi!M8)</f>
        <v>987</v>
      </c>
      <c r="G12" s="130" cm="1">
        <f t="array" ref="G12">_xlfn.IFS($G$3="Tunja",DatoActi!E8,$G$3="Duitama",DatoActi!H8,$G$3="sogamoso",DatoActi!K8,$G$3="Departamento",DatoActi!N8)</f>
        <v>228</v>
      </c>
      <c r="H12" s="131" cm="1">
        <f t="array" ref="H12">_xlfn.IFS($B$4="Matrículas",B12,$B$4="Renovaciones",C12,$B$4="Cancelaciones",D12)</f>
        <v>534</v>
      </c>
      <c r="I12" s="131" cm="1">
        <f t="array" ref="I12">_xlfn.IFS($D$4="Matrículas",E12,$D$4="Renovaciones",F12,$D$4="Cancelaciones",G12)</f>
        <v>987</v>
      </c>
      <c r="J12" s="128" t="s">
        <v>505</v>
      </c>
      <c r="K12" s="130" cm="1">
        <f t="array" ref="K12">_xlfn.IFS($C$3="Tunja",DatoActi!C31,$C$3="Duitama",DatoActi!F31,$C$3="sogamoso",DatoActi!I31,$C$3="Departamento",DatoActi!L31)</f>
        <v>0</v>
      </c>
      <c r="L12" s="130" cm="1">
        <f t="array" ref="L12">_xlfn.IFS($C$3="Tunja",DatoActi!D31,$C$3="Duitama",DatoActi!G31,$C$3="sogamoso",DatoActi!J31,$C$3="Departamento",DatoActi!M31)</f>
        <v>67</v>
      </c>
      <c r="M12" s="130" cm="1">
        <f t="array" ref="M12">_xlfn.IFS($C$3="Tunja",DatoActi!E31,$C$3="Duitama",DatoActi!H31,$C$3="sogamoso",DatoActi!K31,$C$3="Departamento",DatoActi!N31)</f>
        <v>1</v>
      </c>
      <c r="N12" s="130" cm="1">
        <f t="array" ref="N12">_xlfn.IFS($G$3="Tunja",DatoActi!C31,$G$3="Duitama",DatoActi!F31,$G$3="sogamoso",DatoActi!I31,$G$3="Departamento",DatoActi!L31)</f>
        <v>5</v>
      </c>
      <c r="O12" s="130" cm="1">
        <f t="array" ref="O12">_xlfn.IFS($G$3="Tunja",DatoActi!D31,$G$3="Duitama",DatoActi!G31,$G$3="sogamoso",DatoActi!J31,$G$3="Departamento",DatoActi!M31)</f>
        <v>73</v>
      </c>
      <c r="P12" s="130" cm="1">
        <f t="array" ref="P12">_xlfn.IFS($G$3="Tunja",DatoActi!E31,$G$3="Duitama",DatoActi!H31,$G$3="sogamoso",DatoActi!K31,$G$3="Departamento",DatoActi!N31)</f>
        <v>1</v>
      </c>
      <c r="Q12" s="131" cm="1">
        <f t="array" ref="Q12">_xlfn.IFS($B$4="Matrículas",K12,$B$4="Renovaciones",L12,$B$4="Cancelaciones",M12)</f>
        <v>67</v>
      </c>
      <c r="R12" s="131" cm="1">
        <f t="array" ref="R12">_xlfn.IFS($D$4="Matrículas",N12,$D$4="Renovaciones",O12,$D$4="Cancelaciones",P12)</f>
        <v>73</v>
      </c>
      <c r="S12" s="128"/>
    </row>
    <row r="13" spans="1:20" x14ac:dyDescent="0.25">
      <c r="A13" s="77" t="s">
        <v>471</v>
      </c>
      <c r="B13" s="130" cm="1">
        <f t="array" ref="B13">_xlfn.IFS($C$3="Tunja",DatoActi!C9,$C$3="Duitama",DatoActi!F9,$C$3="sogamoso",DatoActi!I9,$C$3="Departamento",DatoActi!L9)</f>
        <v>1050</v>
      </c>
      <c r="C13" s="130" cm="1">
        <f t="array" ref="C13">_xlfn.IFS($C$3="Tunja",DatoActi!D9,$C$3="Duitama",DatoActi!G9,$C$3="sogamoso",DatoActi!J9,$C$3="Departamento",DatoActi!M9)</f>
        <v>7083</v>
      </c>
      <c r="D13" s="130" cm="1">
        <f t="array" ref="D13">_xlfn.IFS($C$3="Tunja",DatoActi!E9,$C$3="Duitama",DatoActi!H9,$C$3="sogamoso",DatoActi!K9,$C$3="Departamento",DatoActi!N9)</f>
        <v>927</v>
      </c>
      <c r="E13" s="130" cm="1">
        <f t="array" ref="E13">_xlfn.IFS($G$3="Tunja",DatoActi!C9,$G$3="Duitama",DatoActi!F9,$G$3="sogamoso",DatoActi!I9,$G$3="Departamento",DatoActi!L9)</f>
        <v>2303</v>
      </c>
      <c r="F13" s="130" cm="1">
        <f t="array" ref="F13">_xlfn.IFS($G$3="Tunja",DatoActi!D9,$G$3="Duitama",DatoActi!G9,$G$3="sogamoso",DatoActi!J9,$G$3="Departamento",DatoActi!M9)</f>
        <v>10714</v>
      </c>
      <c r="G13" s="130" cm="1">
        <f t="array" ref="G13">_xlfn.IFS($G$3="Tunja",DatoActi!E9,$G$3="Duitama",DatoActi!H9,$G$3="sogamoso",DatoActi!K9,$G$3="Departamento",DatoActi!N9)</f>
        <v>2379</v>
      </c>
      <c r="H13" s="131" cm="1">
        <f t="array" ref="H13">_xlfn.IFS($B$4="Matrículas",B13,$B$4="Renovaciones",C13,$B$4="Cancelaciones",D13)</f>
        <v>7083</v>
      </c>
      <c r="I13" s="131" cm="1">
        <f t="array" ref="I13">_xlfn.IFS($D$4="Matrículas",E13,$D$4="Renovaciones",F13,$D$4="Cancelaciones",G13)</f>
        <v>10714</v>
      </c>
      <c r="J13" s="128" t="s">
        <v>506</v>
      </c>
      <c r="K13" s="130" cm="1">
        <f t="array" ref="K13">_xlfn.IFS($C$3="Tunja",DatoActi!C32,$C$3="Duitama",DatoActi!F32,$C$3="sogamoso",DatoActi!I32,$C$3="Departamento",DatoActi!L32)</f>
        <v>0</v>
      </c>
      <c r="L13" s="130" cm="1">
        <f t="array" ref="L13">_xlfn.IFS($C$3="Tunja",DatoActi!D32,$C$3="Duitama",DatoActi!G32,$C$3="sogamoso",DatoActi!J32,$C$3="Departamento",DatoActi!M32)</f>
        <v>0</v>
      </c>
      <c r="M13" s="130" cm="1">
        <f t="array" ref="M13">_xlfn.IFS($C$3="Tunja",DatoActi!E32,$C$3="Duitama",DatoActi!H32,$C$3="sogamoso",DatoActi!K32,$C$3="Departamento",DatoActi!N32)</f>
        <v>0</v>
      </c>
      <c r="N13" s="130" cm="1">
        <f t="array" ref="N13">_xlfn.IFS($G$3="Tunja",DatoActi!C32,$G$3="Duitama",DatoActi!F32,$G$3="sogamoso",DatoActi!I32,$G$3="Departamento",DatoActi!L32)</f>
        <v>0</v>
      </c>
      <c r="O13" s="130" cm="1">
        <f t="array" ref="O13">_xlfn.IFS($G$3="Tunja",DatoActi!D32,$G$3="Duitama",DatoActi!G32,$G$3="sogamoso",DatoActi!J32,$G$3="Departamento",DatoActi!M32)</f>
        <v>0</v>
      </c>
      <c r="P13" s="130" cm="1">
        <f t="array" ref="P13">_xlfn.IFS($G$3="Tunja",DatoActi!E32,$G$3="Duitama",DatoActi!H32,$G$3="sogamoso",DatoActi!K32,$G$3="Departamento",DatoActi!N32)</f>
        <v>0</v>
      </c>
      <c r="Q13" s="131" cm="1">
        <f t="array" ref="Q13">_xlfn.IFS($B$4="Matrículas",K13,$B$4="Renovaciones",L13,$B$4="Cancelaciones",M13)</f>
        <v>0</v>
      </c>
      <c r="R13" s="131" cm="1">
        <f t="array" ref="R13">_xlfn.IFS($D$4="Matrículas",N13,$D$4="Renovaciones",O13,$D$4="Cancelaciones",P13)</f>
        <v>0</v>
      </c>
      <c r="S13" s="128"/>
    </row>
    <row r="14" spans="1:20" x14ac:dyDescent="0.25">
      <c r="A14" s="77" t="s">
        <v>473</v>
      </c>
      <c r="B14" s="130" cm="1">
        <f t="array" ref="B14">_xlfn.IFS($C$3="Tunja",DatoActi!C10,$C$3="Duitama",DatoActi!F10,$C$3="sogamoso",DatoActi!I10,$C$3="Departamento",DatoActi!L10)</f>
        <v>106</v>
      </c>
      <c r="C14" s="130" cm="1">
        <f t="array" ref="C14">_xlfn.IFS($C$3="Tunja",DatoActi!D10,$C$3="Duitama",DatoActi!G10,$C$3="sogamoso",DatoActi!J10,$C$3="Departamento",DatoActi!M10)</f>
        <v>753</v>
      </c>
      <c r="D14" s="130" cm="1">
        <f t="array" ref="D14">_xlfn.IFS($C$3="Tunja",DatoActi!E10,$C$3="Duitama",DatoActi!H10,$C$3="sogamoso",DatoActi!K10,$C$3="Departamento",DatoActi!N10)</f>
        <v>101</v>
      </c>
      <c r="E14" s="130" cm="1">
        <f t="array" ref="E14">_xlfn.IFS($G$3="Tunja",DatoActi!C10,$G$3="Duitama",DatoActi!F10,$G$3="sogamoso",DatoActi!I10,$G$3="Departamento",DatoActi!L10)</f>
        <v>241</v>
      </c>
      <c r="F14" s="130" cm="1">
        <f t="array" ref="F14">_xlfn.IFS($G$3="Tunja",DatoActi!D10,$G$3="Duitama",DatoActi!G10,$G$3="sogamoso",DatoActi!J10,$G$3="Departamento",DatoActi!M10)</f>
        <v>863</v>
      </c>
      <c r="G14" s="130" cm="1">
        <f t="array" ref="G14">_xlfn.IFS($G$3="Tunja",DatoActi!E10,$G$3="Duitama",DatoActi!H10,$G$3="sogamoso",DatoActi!K10,$G$3="Departamento",DatoActi!N10)</f>
        <v>284</v>
      </c>
      <c r="H14" s="131" cm="1">
        <f t="array" ref="H14">_xlfn.IFS($B$4="Matrículas",B14,$B$4="Renovaciones",C14,$B$4="Cancelaciones",D14)</f>
        <v>753</v>
      </c>
      <c r="I14" s="131" cm="1">
        <f t="array" ref="I14">_xlfn.IFS($D$4="Matrículas",E14,$D$4="Renovaciones",F14,$D$4="Cancelaciones",G14)</f>
        <v>863</v>
      </c>
      <c r="J14" s="128" t="s">
        <v>507</v>
      </c>
      <c r="K14" s="130" cm="1">
        <f t="array" ref="K14">_xlfn.IFS($C$3="Tunja",DatoActi!C33,$C$3="Duitama",DatoActi!F33,$C$3="sogamoso",DatoActi!I33,$C$3="Departamento",DatoActi!L33)</f>
        <v>0</v>
      </c>
      <c r="L14" s="130" cm="1">
        <f t="array" ref="L14">_xlfn.IFS($C$3="Tunja",DatoActi!D33,$C$3="Duitama",DatoActi!G33,$C$3="sogamoso",DatoActi!J33,$C$3="Departamento",DatoActi!M33)</f>
        <v>1</v>
      </c>
      <c r="M14" s="130" cm="1">
        <f t="array" ref="M14">_xlfn.IFS($C$3="Tunja",DatoActi!E33,$C$3="Duitama",DatoActi!H33,$C$3="sogamoso",DatoActi!K33,$C$3="Departamento",DatoActi!N33)</f>
        <v>0</v>
      </c>
      <c r="N14" s="130" cm="1">
        <f t="array" ref="N14">_xlfn.IFS($G$3="Tunja",DatoActi!C33,$G$3="Duitama",DatoActi!F33,$G$3="sogamoso",DatoActi!I33,$G$3="Departamento",DatoActi!L33)</f>
        <v>0</v>
      </c>
      <c r="O14" s="130" cm="1">
        <f t="array" ref="O14">_xlfn.IFS($G$3="Tunja",DatoActi!D33,$G$3="Duitama",DatoActi!G33,$G$3="sogamoso",DatoActi!J33,$G$3="Departamento",DatoActi!M33)</f>
        <v>0</v>
      </c>
      <c r="P14" s="130" cm="1">
        <f t="array" ref="P14">_xlfn.IFS($G$3="Tunja",DatoActi!E33,$G$3="Duitama",DatoActi!H33,$G$3="sogamoso",DatoActi!K33,$G$3="Departamento",DatoActi!N33)</f>
        <v>0</v>
      </c>
      <c r="Q14" s="131" cm="1">
        <f t="array" ref="Q14">_xlfn.IFS($B$4="Matrículas",K14,$B$4="Renovaciones",L14,$B$4="Cancelaciones",M14)</f>
        <v>1</v>
      </c>
      <c r="R14" s="131" cm="1">
        <f t="array" ref="R14">_xlfn.IFS($D$4="Matrículas",N14,$D$4="Renovaciones",O14,$D$4="Cancelaciones",P14)</f>
        <v>0</v>
      </c>
      <c r="S14" s="128"/>
    </row>
    <row r="15" spans="1:20" x14ac:dyDescent="0.25">
      <c r="A15" s="77" t="s">
        <v>475</v>
      </c>
      <c r="B15" s="130" cm="1">
        <f t="array" ref="B15">_xlfn.IFS($C$3="Tunja",DatoActi!C11,$C$3="Duitama",DatoActi!F11,$C$3="sogamoso",DatoActi!I11,$C$3="Departamento",DatoActi!L11)</f>
        <v>497</v>
      </c>
      <c r="C15" s="130" cm="1">
        <f t="array" ref="C15">_xlfn.IFS($C$3="Tunja",DatoActi!D11,$C$3="Duitama",DatoActi!G11,$C$3="sogamoso",DatoActi!J11,$C$3="Departamento",DatoActi!M11)</f>
        <v>2272</v>
      </c>
      <c r="D15" s="130" cm="1">
        <f t="array" ref="D15">_xlfn.IFS($C$3="Tunja",DatoActi!E11,$C$3="Duitama",DatoActi!H11,$C$3="sogamoso",DatoActi!K11,$C$3="Departamento",DatoActi!N11)</f>
        <v>391</v>
      </c>
      <c r="E15" s="130" cm="1">
        <f t="array" ref="E15">_xlfn.IFS($G$3="Tunja",DatoActi!C11,$G$3="Duitama",DatoActi!F11,$G$3="sogamoso",DatoActi!I11,$G$3="Departamento",DatoActi!L11)</f>
        <v>1508</v>
      </c>
      <c r="F15" s="130" cm="1">
        <f t="array" ref="F15">_xlfn.IFS($G$3="Tunja",DatoActi!D11,$G$3="Duitama",DatoActi!G11,$G$3="sogamoso",DatoActi!J11,$G$3="Departamento",DatoActi!M11)</f>
        <v>3972</v>
      </c>
      <c r="G15" s="130" cm="1">
        <f t="array" ref="G15">_xlfn.IFS($G$3="Tunja",DatoActi!E11,$G$3="Duitama",DatoActi!H11,$G$3="sogamoso",DatoActi!K11,$G$3="Departamento",DatoActi!N11)</f>
        <v>1265</v>
      </c>
      <c r="H15" s="131" cm="1">
        <f t="array" ref="H15">_xlfn.IFS($B$4="Matrículas",B15,$B$4="Renovaciones",C15,$B$4="Cancelaciones",D15)</f>
        <v>2272</v>
      </c>
      <c r="I15" s="131" cm="1">
        <f t="array" ref="I15">_xlfn.IFS($D$4="Matrículas",E15,$D$4="Renovaciones",F15,$D$4="Cancelaciones",G15)</f>
        <v>3972</v>
      </c>
      <c r="J15" s="128" t="s">
        <v>508</v>
      </c>
      <c r="K15" s="130" cm="1">
        <f t="array" ref="K15">_xlfn.IFS($C$3="Tunja",DatoActi!C34,$C$3="Duitama",DatoActi!F34,$C$3="sogamoso",DatoActi!I34,$C$3="Departamento",DatoActi!L34)</f>
        <v>353</v>
      </c>
      <c r="L15" s="130" cm="1">
        <f t="array" ref="L15">_xlfn.IFS($C$3="Tunja",DatoActi!D34,$C$3="Duitama",DatoActi!G34,$C$3="sogamoso",DatoActi!J34,$C$3="Departamento",DatoActi!M34)</f>
        <v>2244</v>
      </c>
      <c r="M15" s="130" cm="1">
        <f t="array" ref="M15">_xlfn.IFS($C$3="Tunja",DatoActi!E34,$C$3="Duitama",DatoActi!H34,$C$3="sogamoso",DatoActi!K34,$C$3="Departamento",DatoActi!N34)</f>
        <v>66</v>
      </c>
      <c r="N15" s="130" cm="1">
        <f t="array" ref="N15">_xlfn.IFS($G$3="Tunja",DatoActi!C34,$G$3="Duitama",DatoActi!F34,$G$3="sogamoso",DatoActi!I34,$G$3="Departamento",DatoActi!L34)</f>
        <v>751</v>
      </c>
      <c r="O15" s="130" cm="1">
        <f t="array" ref="O15">_xlfn.IFS($G$3="Tunja",DatoActi!D34,$G$3="Duitama",DatoActi!G34,$G$3="sogamoso",DatoActi!J34,$G$3="Departamento",DatoActi!M34)</f>
        <v>3322</v>
      </c>
      <c r="P15" s="130" cm="1">
        <f t="array" ref="P15">_xlfn.IFS($G$3="Tunja",DatoActi!E34,$G$3="Duitama",DatoActi!H34,$G$3="sogamoso",DatoActi!K34,$G$3="Departamento",DatoActi!N34)</f>
        <v>141</v>
      </c>
      <c r="Q15" s="131" cm="1">
        <f t="array" ref="Q15">_xlfn.IFS($B$4="Matrículas",K15,$B$4="Renovaciones",L15,$B$4="Cancelaciones",M15)</f>
        <v>2244</v>
      </c>
      <c r="R15" s="131" cm="1">
        <f t="array" ref="R15">_xlfn.IFS($D$4="Matrículas",N15,$D$4="Renovaciones",O15,$D$4="Cancelaciones",P15)</f>
        <v>3322</v>
      </c>
      <c r="S15" s="128"/>
    </row>
    <row r="16" spans="1:20" x14ac:dyDescent="0.25">
      <c r="A16" s="77" t="s">
        <v>477</v>
      </c>
      <c r="B16" s="130" cm="1">
        <f t="array" ref="B16">_xlfn.IFS($C$3="Tunja",DatoActi!C12,$C$3="Duitama",DatoActi!F12,$C$3="sogamoso",DatoActi!I12,$C$3="Departamento",DatoActi!L12)</f>
        <v>16</v>
      </c>
      <c r="C16" s="130" cm="1">
        <f t="array" ref="C16">_xlfn.IFS($C$3="Tunja",DatoActi!D12,$C$3="Duitama",DatoActi!G12,$C$3="sogamoso",DatoActi!J12,$C$3="Departamento",DatoActi!M12)</f>
        <v>200</v>
      </c>
      <c r="D16" s="130" cm="1">
        <f t="array" ref="D16">_xlfn.IFS($C$3="Tunja",DatoActi!E12,$C$3="Duitama",DatoActi!H12,$C$3="sogamoso",DatoActi!K12,$C$3="Departamento",DatoActi!N12)</f>
        <v>24</v>
      </c>
      <c r="E16" s="130" cm="1">
        <f t="array" ref="E16">_xlfn.IFS($G$3="Tunja",DatoActi!C12,$G$3="Duitama",DatoActi!F12,$G$3="sogamoso",DatoActi!I12,$G$3="Departamento",DatoActi!L12)</f>
        <v>54</v>
      </c>
      <c r="F16" s="130" cm="1">
        <f t="array" ref="F16">_xlfn.IFS($G$3="Tunja",DatoActi!D12,$G$3="Duitama",DatoActi!G12,$G$3="sogamoso",DatoActi!J12,$G$3="Departamento",DatoActi!M12)</f>
        <v>389</v>
      </c>
      <c r="G16" s="130" cm="1">
        <f t="array" ref="G16">_xlfn.IFS($G$3="Tunja",DatoActi!E12,$G$3="Duitama",DatoActi!H12,$G$3="sogamoso",DatoActi!K12,$G$3="Departamento",DatoActi!N12)</f>
        <v>81</v>
      </c>
      <c r="H16" s="131" cm="1">
        <f t="array" ref="H16">_xlfn.IFS($B$4="Matrículas",B16,$B$4="Renovaciones",C16,$B$4="Cancelaciones",D16)</f>
        <v>200</v>
      </c>
      <c r="I16" s="131" cm="1">
        <f t="array" ref="I16">_xlfn.IFS($D$4="Matrículas",E16,$D$4="Renovaciones",F16,$D$4="Cancelaciones",G16)</f>
        <v>389</v>
      </c>
      <c r="S16" s="128"/>
    </row>
    <row r="17" spans="1:19" ht="75" x14ac:dyDescent="0.25">
      <c r="A17" s="77" t="s">
        <v>479</v>
      </c>
      <c r="B17" s="130" cm="1">
        <f t="array" ref="B17">_xlfn.IFS($C$3="Tunja",DatoActi!C13,$C$3="Duitama",DatoActi!F13,$C$3="sogamoso",DatoActi!I13,$C$3="Departamento",DatoActi!L13)</f>
        <v>7</v>
      </c>
      <c r="C17" s="130" cm="1">
        <f t="array" ref="C17">_xlfn.IFS($C$3="Tunja",DatoActi!D13,$C$3="Duitama",DatoActi!G13,$C$3="sogamoso",DatoActi!J13,$C$3="Departamento",DatoActi!M13)</f>
        <v>87</v>
      </c>
      <c r="D17" s="130" cm="1">
        <f t="array" ref="D17">_xlfn.IFS($C$3="Tunja",DatoActi!E13,$C$3="Duitama",DatoActi!H13,$C$3="sogamoso",DatoActi!K13,$C$3="Departamento",DatoActi!N13)</f>
        <v>14</v>
      </c>
      <c r="E17" s="130" cm="1">
        <f t="array" ref="E17">_xlfn.IFS($G$3="Tunja",DatoActi!C13,$G$3="Duitama",DatoActi!F13,$G$3="sogamoso",DatoActi!I13,$G$3="Departamento",DatoActi!L13)</f>
        <v>27</v>
      </c>
      <c r="F17" s="130" cm="1">
        <f t="array" ref="F17">_xlfn.IFS($G$3="Tunja",DatoActi!D13,$G$3="Duitama",DatoActi!G13,$G$3="sogamoso",DatoActi!J13,$G$3="Departamento",DatoActi!M13)</f>
        <v>195</v>
      </c>
      <c r="G17" s="130" cm="1">
        <f t="array" ref="G17">_xlfn.IFS($G$3="Tunja",DatoActi!E13,$G$3="Duitama",DatoActi!H13,$G$3="sogamoso",DatoActi!K13,$G$3="Departamento",DatoActi!N13)</f>
        <v>37</v>
      </c>
      <c r="H17" s="131" cm="1">
        <f t="array" ref="H17">_xlfn.IFS($B$4="Matrículas",B17,$B$4="Renovaciones",C17,$B$4="Cancelaciones",D17)</f>
        <v>87</v>
      </c>
      <c r="I17" s="131" cm="1">
        <f t="array" ref="I17">_xlfn.IFS($D$4="Matrículas",E17,$D$4="Renovaciones",F17,$D$4="Cancelaciones",G17)</f>
        <v>195</v>
      </c>
      <c r="J17" s="133" t="s">
        <v>521</v>
      </c>
      <c r="K17" s="133" t="s">
        <v>261</v>
      </c>
      <c r="L17" s="133" t="s">
        <v>262</v>
      </c>
      <c r="M17" s="133" t="s">
        <v>263</v>
      </c>
      <c r="N17" s="133" t="s">
        <v>261</v>
      </c>
      <c r="O17" s="133" t="s">
        <v>262</v>
      </c>
      <c r="P17" s="133" t="s">
        <v>263</v>
      </c>
      <c r="Q17" s="129" t="str">
        <f>B4&amp;" Cámara de Comercio de "&amp;C3</f>
        <v>Renovaciones Cámara de Comercio de Duitama</v>
      </c>
      <c r="R17" s="129" t="str">
        <f>D4&amp;" Cámara de Comercio de "&amp;G3</f>
        <v>Renovaciones Cámara de Comercio de Tunja</v>
      </c>
      <c r="S17" s="128"/>
    </row>
    <row r="18" spans="1:19" x14ac:dyDescent="0.25">
      <c r="A18" s="77" t="s">
        <v>481</v>
      </c>
      <c r="B18" s="130" cm="1">
        <f t="array" ref="B18">_xlfn.IFS($C$3="Tunja",DatoActi!C14,$C$3="Duitama",DatoActi!F14,$C$3="sogamoso",DatoActi!I14,$C$3="Departamento",DatoActi!L14)</f>
        <v>11</v>
      </c>
      <c r="C18" s="130" cm="1">
        <f t="array" ref="C18">_xlfn.IFS($C$3="Tunja",DatoActi!D14,$C$3="Duitama",DatoActi!G14,$C$3="sogamoso",DatoActi!J14,$C$3="Departamento",DatoActi!M14)</f>
        <v>106</v>
      </c>
      <c r="D18" s="130" cm="1">
        <f t="array" ref="D18">_xlfn.IFS($C$3="Tunja",DatoActi!E14,$C$3="Duitama",DatoActi!H14,$C$3="sogamoso",DatoActi!K14,$C$3="Departamento",DatoActi!N14)</f>
        <v>9</v>
      </c>
      <c r="E18" s="130" cm="1">
        <f t="array" ref="E18">_xlfn.IFS($G$3="Tunja",DatoActi!C14,$G$3="Duitama",DatoActi!F14,$G$3="sogamoso",DatoActi!I14,$G$3="Departamento",DatoActi!L14)</f>
        <v>53</v>
      </c>
      <c r="F18" s="130" cm="1">
        <f t="array" ref="F18">_xlfn.IFS($G$3="Tunja",DatoActi!D14,$G$3="Duitama",DatoActi!G14,$G$3="sogamoso",DatoActi!J14,$G$3="Departamento",DatoActi!M14)</f>
        <v>210</v>
      </c>
      <c r="G18" s="130" cm="1">
        <f t="array" ref="G18">_xlfn.IFS($G$3="Tunja",DatoActi!E14,$G$3="Duitama",DatoActi!H14,$G$3="sogamoso",DatoActi!K14,$G$3="Departamento",DatoActi!N14)</f>
        <v>27</v>
      </c>
      <c r="H18" s="131" cm="1">
        <f t="array" ref="H18">_xlfn.IFS($B$4="Matrículas",B18,$B$4="Renovaciones",C18,$B$4="Cancelaciones",D18)</f>
        <v>106</v>
      </c>
      <c r="I18" s="131" cm="1">
        <f t="array" ref="I18">_xlfn.IFS($D$4="Matrículas",E18,$D$4="Renovaciones",F18,$D$4="Cancelaciones",G18)</f>
        <v>210</v>
      </c>
      <c r="J18" s="128" t="s">
        <v>509</v>
      </c>
      <c r="K18" s="130" cm="1">
        <f t="array" ref="K18">_xlfn.IFS($C$3="Tunja",DatoActi!C35,$C$3="Duitama",DatoActi!F35,$C$3="sogamoso",DatoActi!I35,$C$3="Departamento",DatoActi!L35)</f>
        <v>2450</v>
      </c>
      <c r="L18" s="130" cm="1">
        <f t="array" ref="L18">_xlfn.IFS($C$3="Tunja",DatoActi!D35,$C$3="Duitama",DatoActi!G35,$C$3="sogamoso",DatoActi!J35,$C$3="Departamento",DatoActi!M35)</f>
        <v>15527</v>
      </c>
      <c r="M18" s="130" cm="1">
        <f t="array" ref="M18">_xlfn.IFS($C$3="Tunja",DatoActi!E35,$C$3="Duitama",DatoActi!H35,$C$3="sogamoso",DatoActi!K35,$C$3="Departamento",DatoActi!N35)</f>
        <v>2065</v>
      </c>
      <c r="N18" s="130" cm="1">
        <f t="array" ref="N18">_xlfn.IFS($G$3="Tunja",DatoActi!F35,$G$3="Duitama",DatoActi!I35,$G$3="sogamoso",DatoActi!L35,$G$3="Departamento",DatoActi!O35)</f>
        <v>2450</v>
      </c>
      <c r="O18" s="130" cm="1">
        <f t="array" ref="O18">_xlfn.IFS($G$3="Tunja",DatoActi!G35,$G$3="Duitama",DatoActi!J35,$G$3="sogamoso",DatoActi!M35,$G$3="Departamento",DatoActi!P35)</f>
        <v>15527</v>
      </c>
      <c r="P18" s="130" cm="1">
        <f t="array" ref="P18">_xlfn.IFS($G$3="Tunja",DatoActi!H35,$G$3="Duitama",DatoActi!K35,$G$3="sogamoso",DatoActi!N35,$G$3="Departamento",DatoActi!Q35)</f>
        <v>2065</v>
      </c>
      <c r="Q18" s="131" cm="1">
        <f t="array" ref="Q18">_xlfn.IFS($B$4="Matrículas",K18,$B$4="Renovaciones",L18,$B$4="Cancelaciones",M18)</f>
        <v>15527</v>
      </c>
      <c r="R18" s="131" cm="1">
        <f t="array" ref="R18">_xlfn.IFS($D$4="Matrículas",N18,$D$4="Renovaciones",O18,$D$4="Cancelaciones",P18)</f>
        <v>15527</v>
      </c>
      <c r="S18" s="128"/>
    </row>
    <row r="19" spans="1:19" x14ac:dyDescent="0.25">
      <c r="A19" s="77" t="s">
        <v>483</v>
      </c>
      <c r="B19" s="130" cm="1">
        <f t="array" ref="B19">_xlfn.IFS($C$3="Tunja",DatoActi!C15,$C$3="Duitama",DatoActi!F15,$C$3="sogamoso",DatoActi!I15,$C$3="Departamento",DatoActi!L15)</f>
        <v>88</v>
      </c>
      <c r="C19" s="130" cm="1">
        <f t="array" ref="C19">_xlfn.IFS($C$3="Tunja",DatoActi!D15,$C$3="Duitama",DatoActi!G15,$C$3="sogamoso",DatoActi!J15,$C$3="Departamento",DatoActi!M15)</f>
        <v>599</v>
      </c>
      <c r="D19" s="130" cm="1">
        <f t="array" ref="D19">_xlfn.IFS($C$3="Tunja",DatoActi!E15,$C$3="Duitama",DatoActi!H15,$C$3="sogamoso",DatoActi!K15,$C$3="Departamento",DatoActi!N15)</f>
        <v>65</v>
      </c>
      <c r="E19" s="130" cm="1">
        <f t="array" ref="E19">_xlfn.IFS($G$3="Tunja",DatoActi!C15,$G$3="Duitama",DatoActi!F15,$G$3="sogamoso",DatoActi!I15,$G$3="Departamento",DatoActi!L15)</f>
        <v>207</v>
      </c>
      <c r="F19" s="130" cm="1">
        <f t="array" ref="F19">_xlfn.IFS($G$3="Tunja",DatoActi!D15,$G$3="Duitama",DatoActi!G15,$G$3="sogamoso",DatoActi!J15,$G$3="Departamento",DatoActi!M15)</f>
        <v>1009</v>
      </c>
      <c r="G19" s="130" cm="1">
        <f t="array" ref="G19">_xlfn.IFS($G$3="Tunja",DatoActi!E15,$G$3="Duitama",DatoActi!H15,$G$3="sogamoso",DatoActi!K15,$G$3="Departamento",DatoActi!N15)</f>
        <v>210</v>
      </c>
      <c r="H19" s="131" cm="1">
        <f t="array" ref="H19">_xlfn.IFS($B$4="Matrículas",B19,$B$4="Renovaciones",C19,$B$4="Cancelaciones",D19)</f>
        <v>599</v>
      </c>
      <c r="I19" s="131" cm="1">
        <f t="array" ref="I19">_xlfn.IFS($D$4="Matrículas",E19,$D$4="Renovaciones",F19,$D$4="Cancelaciones",G19)</f>
        <v>1009</v>
      </c>
      <c r="J19" s="128" t="s">
        <v>510</v>
      </c>
      <c r="K19" s="130" cm="1">
        <f t="array" ref="K19">_xlfn.IFS($C$3="Tunja",DatoActi!C36,$C$3="Duitama",DatoActi!F36,$C$3="sogamoso",DatoActi!I36,$C$3="Departamento",DatoActi!L36)</f>
        <v>2</v>
      </c>
      <c r="L19" s="130" cm="1">
        <f t="array" ref="L19">_xlfn.IFS($C$3="Tunja",DatoActi!D36,$C$3="Duitama",DatoActi!G36,$C$3="sogamoso",DatoActi!J36,$C$3="Departamento",DatoActi!M36)</f>
        <v>261</v>
      </c>
      <c r="M19" s="130" cm="1">
        <f t="array" ref="M19">_xlfn.IFS($C$3="Tunja",DatoActi!E36,$C$3="Duitama",DatoActi!H36,$C$3="sogamoso",DatoActi!K36,$C$3="Departamento",DatoActi!N36)</f>
        <v>7</v>
      </c>
      <c r="N19" s="130" cm="1">
        <f t="array" ref="N19">_xlfn.IFS($G$3="Tunja",DatoActi!F36,$G$3="Duitama",DatoActi!I36,$G$3="sogamoso",DatoActi!L36,$G$3="Departamento",DatoActi!O36)</f>
        <v>2</v>
      </c>
      <c r="O19" s="130" cm="1">
        <f t="array" ref="O19">_xlfn.IFS($G$3="Tunja",DatoActi!G36,$G$3="Duitama",DatoActi!J36,$G$3="sogamoso",DatoActi!M36,$G$3="Departamento",DatoActi!P36)</f>
        <v>261</v>
      </c>
      <c r="P19" s="130" cm="1">
        <f t="array" ref="P19">_xlfn.IFS($G$3="Tunja",DatoActi!H36,$G$3="Duitama",DatoActi!K36,$G$3="sogamoso",DatoActi!N36,$G$3="Departamento",DatoActi!Q36)</f>
        <v>7</v>
      </c>
      <c r="Q19" s="131" cm="1">
        <f t="array" ref="Q19">_xlfn.IFS($B$4="Matrículas",K19,$B$4="Renovaciones",L19,$B$4="Cancelaciones",M19)</f>
        <v>261</v>
      </c>
      <c r="R19" s="131" cm="1">
        <f t="array" ref="R19">_xlfn.IFS($D$4="Matrículas",N19,$D$4="Renovaciones",O19,$D$4="Cancelaciones",P19)</f>
        <v>261</v>
      </c>
      <c r="S19" s="128"/>
    </row>
    <row r="20" spans="1:19" x14ac:dyDescent="0.25">
      <c r="A20" s="77" t="s">
        <v>485</v>
      </c>
      <c r="B20" s="123" cm="1">
        <f t="array" ref="B20">_xlfn.IFS($C$3="Tunja",DatoActi!C16,$C$3="Duitama",DatoActi!F16,$C$3="sogamoso",DatoActi!I16,$C$3="Departamento",DatoActi!L16)</f>
        <v>73</v>
      </c>
      <c r="C20" s="123" cm="1">
        <f t="array" ref="C20">_xlfn.IFS($C$3="Tunja",DatoActi!D16,$C$3="Duitama",DatoActi!G16,$C$3="sogamoso",DatoActi!J16,$C$3="Departamento",DatoActi!M16)</f>
        <v>400</v>
      </c>
      <c r="D20" s="123" cm="1">
        <f t="array" ref="D20">_xlfn.IFS($C$3="Tunja",DatoActi!E16,$C$3="Duitama",DatoActi!H16,$C$3="sogamoso",DatoActi!K16,$C$3="Departamento",DatoActi!N16)</f>
        <v>50</v>
      </c>
      <c r="E20" s="123" cm="1">
        <f t="array" ref="E20">_xlfn.IFS($G$3="Tunja",DatoActi!C16,$G$3="Duitama",DatoActi!F16,$G$3="sogamoso",DatoActi!I16,$G$3="Departamento",DatoActi!L16)</f>
        <v>159</v>
      </c>
      <c r="F20" s="123" cm="1">
        <f t="array" ref="F20">_xlfn.IFS($G$3="Tunja",DatoActi!D16,$G$3="Duitama",DatoActi!G16,$G$3="sogamoso",DatoActi!J16,$G$3="Departamento",DatoActi!M16)</f>
        <v>587</v>
      </c>
      <c r="G20" s="123" cm="1">
        <f t="array" ref="G20">_xlfn.IFS($G$3="Tunja",DatoActi!E16,$G$3="Duitama",DatoActi!H16,$G$3="sogamoso",DatoActi!K16,$G$3="Departamento",DatoActi!N16)</f>
        <v>141</v>
      </c>
      <c r="H20" s="124" cm="1">
        <f t="array" ref="H20">_xlfn.IFS($B$4="Matrículas",B20,$B$4="Renovaciones",C20,$B$4="Cancelaciones",D20)</f>
        <v>400</v>
      </c>
      <c r="I20" s="124" cm="1">
        <f t="array" ref="I20">_xlfn.IFS($D$4="Matrículas",E20,$D$4="Renovaciones",F20,$D$4="Cancelaciones",G20)</f>
        <v>587</v>
      </c>
      <c r="J20" s="128" t="s">
        <v>511</v>
      </c>
      <c r="K20" s="130" cm="1">
        <f t="array" ref="K20">_xlfn.IFS($C$3="Tunja",DatoActi!C37,$C$3="Duitama",DatoActi!F37,$C$3="sogamoso",DatoActi!I37,$C$3="Departamento",DatoActi!L37)</f>
        <v>0</v>
      </c>
      <c r="L20" s="130" cm="1">
        <f t="array" ref="L20">_xlfn.IFS($C$3="Tunja",DatoActi!D37,$C$3="Duitama",DatoActi!G37,$C$3="sogamoso",DatoActi!J37,$C$3="Departamento",DatoActi!M37)</f>
        <v>64</v>
      </c>
      <c r="M20" s="130" cm="1">
        <f t="array" ref="M20">_xlfn.IFS($C$3="Tunja",DatoActi!E37,$C$3="Duitama",DatoActi!H37,$C$3="sogamoso",DatoActi!K37,$C$3="Departamento",DatoActi!N37)</f>
        <v>3</v>
      </c>
      <c r="N20" s="130" cm="1">
        <f t="array" ref="N20">_xlfn.IFS($G$3="Tunja",DatoActi!F37,$G$3="Duitama",DatoActi!I37,$G$3="sogamoso",DatoActi!L37,$G$3="Departamento",DatoActi!O37)</f>
        <v>0</v>
      </c>
      <c r="O20" s="130" cm="1">
        <f t="array" ref="O20">_xlfn.IFS($G$3="Tunja",DatoActi!G37,$G$3="Duitama",DatoActi!J37,$G$3="sogamoso",DatoActi!M37,$G$3="Departamento",DatoActi!P37)</f>
        <v>64</v>
      </c>
      <c r="P20" s="130" cm="1">
        <f t="array" ref="P20">_xlfn.IFS($G$3="Tunja",DatoActi!H37,$G$3="Duitama",DatoActi!K37,$G$3="sogamoso",DatoActi!N37,$G$3="Departamento",DatoActi!Q37)</f>
        <v>3</v>
      </c>
      <c r="Q20" s="131" cm="1">
        <f t="array" ref="Q20">_xlfn.IFS($B$4="Matrículas",K20,$B$4="Renovaciones",L20,$B$4="Cancelaciones",M20)</f>
        <v>64</v>
      </c>
      <c r="R20" s="131" cm="1">
        <f t="array" ref="R20">_xlfn.IFS($D$4="Matrículas",N20,$D$4="Renovaciones",O20,$D$4="Cancelaciones",P20)</f>
        <v>64</v>
      </c>
      <c r="S20" s="128"/>
    </row>
    <row r="21" spans="1:19" x14ac:dyDescent="0.25">
      <c r="A21" s="77" t="s">
        <v>487</v>
      </c>
      <c r="B21" s="123" cm="1">
        <f t="array" ref="B21">_xlfn.IFS($C$3="Tunja",DatoActi!C17,$C$3="Duitama",DatoActi!F17,$C$3="sogamoso",DatoActi!I17,$C$3="Departamento",DatoActi!L17)</f>
        <v>0</v>
      </c>
      <c r="C21" s="123" cm="1">
        <f t="array" ref="C21">_xlfn.IFS($C$3="Tunja",DatoActi!D17,$C$3="Duitama",DatoActi!G17,$C$3="sogamoso",DatoActi!J17,$C$3="Departamento",DatoActi!M17)</f>
        <v>8</v>
      </c>
      <c r="D21" s="123" cm="1">
        <f t="array" ref="D21">_xlfn.IFS($C$3="Tunja",DatoActi!E17,$C$3="Duitama",DatoActi!H17,$C$3="sogamoso",DatoActi!K17,$C$3="Departamento",DatoActi!N17)</f>
        <v>0</v>
      </c>
      <c r="E21" s="123" cm="1">
        <f t="array" ref="E21">_xlfn.IFS($G$3="Tunja",DatoActi!C17,$G$3="Duitama",DatoActi!F17,$G$3="sogamoso",DatoActi!I17,$G$3="Departamento",DatoActi!L17)</f>
        <v>5</v>
      </c>
      <c r="F21" s="123" cm="1">
        <f t="array" ref="F21">_xlfn.IFS($G$3="Tunja",DatoActi!D17,$G$3="Duitama",DatoActi!G17,$G$3="sogamoso",DatoActi!J17,$G$3="Departamento",DatoActi!M17)</f>
        <v>20</v>
      </c>
      <c r="G21" s="123" cm="1">
        <f t="array" ref="G21">_xlfn.IFS($G$3="Tunja",DatoActi!E17,$G$3="Duitama",DatoActi!H17,$G$3="sogamoso",DatoActi!K17,$G$3="Departamento",DatoActi!N17)</f>
        <v>1</v>
      </c>
      <c r="H21" s="124" cm="1">
        <f t="array" ref="H21">_xlfn.IFS($B$4="Matrículas",B21,$B$4="Renovaciones",C21,$B$4="Cancelaciones",D21)</f>
        <v>8</v>
      </c>
      <c r="I21" s="124" cm="1">
        <f t="array" ref="I21">_xlfn.IFS($D$4="Matrículas",E21,$D$4="Renovaciones",F21,$D$4="Cancelaciones",G21)</f>
        <v>20</v>
      </c>
      <c r="J21" s="77" t="s">
        <v>512</v>
      </c>
      <c r="K21" s="130" cm="1">
        <f t="array" ref="K21">_xlfn.IFS($C$3="Tunja",DatoActi!C38,$C$3="Duitama",DatoActi!F38,$C$3="sogamoso",DatoActi!I38,$C$3="Departamento",DatoActi!L38)</f>
        <v>0</v>
      </c>
      <c r="L21" s="130" cm="1">
        <f t="array" ref="L21">_xlfn.IFS($C$3="Tunja",DatoActi!D38,$C$3="Duitama",DatoActi!G38,$C$3="sogamoso",DatoActi!J38,$C$3="Departamento",DatoActi!M38)</f>
        <v>12</v>
      </c>
      <c r="M21" s="130" cm="1">
        <f t="array" ref="M21">_xlfn.IFS($C$3="Tunja",DatoActi!E38,$C$3="Duitama",DatoActi!H38,$C$3="sogamoso",DatoActi!K38,$C$3="Departamento",DatoActi!N38)</f>
        <v>0</v>
      </c>
      <c r="N21" s="130" cm="1">
        <f t="array" ref="N21">_xlfn.IFS($G$3="Tunja",DatoActi!F38,$G$3="Duitama",DatoActi!I38,$G$3="sogamoso",DatoActi!L38,$G$3="Departamento",DatoActi!O38)</f>
        <v>0</v>
      </c>
      <c r="O21" s="130" cm="1">
        <f t="array" ref="O21">_xlfn.IFS($G$3="Tunja",DatoActi!G38,$G$3="Duitama",DatoActi!J38,$G$3="sogamoso",DatoActi!M38,$G$3="Departamento",DatoActi!P38)</f>
        <v>12</v>
      </c>
      <c r="P21" s="130" cm="1">
        <f t="array" ref="P21">_xlfn.IFS($G$3="Tunja",DatoActi!H38,$G$3="Duitama",DatoActi!K38,$G$3="sogamoso",DatoActi!N38,$G$3="Departamento",DatoActi!Q38)</f>
        <v>0</v>
      </c>
      <c r="Q21" s="131" cm="1">
        <f t="array" ref="Q21">_xlfn.IFS($B$4="Matrículas",K21,$B$4="Renovaciones",L21,$B$4="Cancelaciones",M21)</f>
        <v>12</v>
      </c>
      <c r="R21" s="131" cm="1">
        <f t="array" ref="R21">_xlfn.IFS($D$4="Matrículas",N21,$D$4="Renovaciones",O21,$D$4="Cancelaciones",P21)</f>
        <v>12</v>
      </c>
    </row>
    <row r="22" spans="1:19" x14ac:dyDescent="0.25">
      <c r="A22" s="77" t="s">
        <v>489</v>
      </c>
      <c r="B22" s="123" cm="1">
        <f t="array" ref="B22">_xlfn.IFS($C$3="Tunja",DatoActi!C18,$C$3="Duitama",DatoActi!F18,$C$3="sogamoso",DatoActi!I18,$C$3="Departamento",DatoActi!L18)</f>
        <v>8</v>
      </c>
      <c r="C22" s="123" cm="1">
        <f t="array" ref="C22">_xlfn.IFS($C$3="Tunja",DatoActi!D18,$C$3="Duitama",DatoActi!G18,$C$3="sogamoso",DatoActi!J18,$C$3="Departamento",DatoActi!M18)</f>
        <v>69</v>
      </c>
      <c r="D22" s="123" cm="1">
        <f t="array" ref="D22">_xlfn.IFS($C$3="Tunja",DatoActi!E18,$C$3="Duitama",DatoActi!H18,$C$3="sogamoso",DatoActi!K18,$C$3="Departamento",DatoActi!N18)</f>
        <v>7</v>
      </c>
      <c r="E22" s="123" cm="1">
        <f t="array" ref="E22">_xlfn.IFS($G$3="Tunja",DatoActi!C18,$G$3="Duitama",DatoActi!F18,$G$3="sogamoso",DatoActi!I18,$G$3="Departamento",DatoActi!L18)</f>
        <v>30</v>
      </c>
      <c r="F22" s="123" cm="1">
        <f t="array" ref="F22">_xlfn.IFS($G$3="Tunja",DatoActi!D18,$G$3="Duitama",DatoActi!G18,$G$3="sogamoso",DatoActi!J18,$G$3="Departamento",DatoActi!M18)</f>
        <v>152</v>
      </c>
      <c r="G22" s="123" cm="1">
        <f t="array" ref="G22">_xlfn.IFS($G$3="Tunja",DatoActi!E18,$G$3="Duitama",DatoActi!H18,$G$3="sogamoso",DatoActi!K18,$G$3="Departamento",DatoActi!N18)</f>
        <v>24</v>
      </c>
      <c r="H22" s="124" cm="1">
        <f t="array" ref="H22">_xlfn.IFS($B$4="Matrículas",B22,$B$4="Renovaciones",C22,$B$4="Cancelaciones",D22)</f>
        <v>69</v>
      </c>
      <c r="I22" s="124" cm="1">
        <f t="array" ref="I22">_xlfn.IFS($D$4="Matrículas",E22,$D$4="Renovaciones",F22,$D$4="Cancelaciones",G22)</f>
        <v>152</v>
      </c>
    </row>
    <row r="23" spans="1:19" x14ac:dyDescent="0.25">
      <c r="A23" s="77" t="s">
        <v>491</v>
      </c>
      <c r="B23" s="123" cm="1">
        <f t="array" ref="B23">_xlfn.IFS($C$3="Tunja",DatoActi!C19,$C$3="Duitama",DatoActi!F19,$C$3="sogamoso",DatoActi!I19,$C$3="Departamento",DatoActi!L19)</f>
        <v>16</v>
      </c>
      <c r="C23" s="123" cm="1">
        <f t="array" ref="C23">_xlfn.IFS($C$3="Tunja",DatoActi!D19,$C$3="Duitama",DatoActi!G19,$C$3="sogamoso",DatoActi!J19,$C$3="Departamento",DatoActi!M19)</f>
        <v>134</v>
      </c>
      <c r="D23" s="123" cm="1">
        <f t="array" ref="D23">_xlfn.IFS($C$3="Tunja",DatoActi!E19,$C$3="Duitama",DatoActi!H19,$C$3="sogamoso",DatoActi!K19,$C$3="Departamento",DatoActi!N19)</f>
        <v>15</v>
      </c>
      <c r="E23" s="123" cm="1">
        <f t="array" ref="E23">_xlfn.IFS($G$3="Tunja",DatoActi!C19,$G$3="Duitama",DatoActi!F19,$G$3="sogamoso",DatoActi!I19,$G$3="Departamento",DatoActi!L19)</f>
        <v>46</v>
      </c>
      <c r="F23" s="123" cm="1">
        <f t="array" ref="F23">_xlfn.IFS($G$3="Tunja",DatoActi!D19,$G$3="Duitama",DatoActi!G19,$G$3="sogamoso",DatoActi!J19,$G$3="Departamento",DatoActi!M19)</f>
        <v>322</v>
      </c>
      <c r="G23" s="123" cm="1">
        <f t="array" ref="G23">_xlfn.IFS($G$3="Tunja",DatoActi!E19,$G$3="Duitama",DatoActi!H19,$G$3="sogamoso",DatoActi!K19,$G$3="Departamento",DatoActi!N19)</f>
        <v>41</v>
      </c>
      <c r="H23" s="124" cm="1">
        <f t="array" ref="H23">_xlfn.IFS($B$4="Matrículas",B23,$B$4="Renovaciones",C23,$B$4="Cancelaciones",D23)</f>
        <v>134</v>
      </c>
      <c r="I23" s="124" cm="1">
        <f t="array" ref="I23">_xlfn.IFS($D$4="Matrículas",E23,$D$4="Renovaciones",F23,$D$4="Cancelaciones",G23)</f>
        <v>322</v>
      </c>
    </row>
    <row r="24" spans="1:19" x14ac:dyDescent="0.25">
      <c r="A24" s="77" t="s">
        <v>493</v>
      </c>
      <c r="B24" s="123" cm="1">
        <f t="array" ref="B24">_xlfn.IFS($C$3="Tunja",DatoActi!C20,$C$3="Duitama",DatoActi!F20,$C$3="sogamoso",DatoActi!I20,$C$3="Departamento",DatoActi!L20)</f>
        <v>53</v>
      </c>
      <c r="C24" s="123" cm="1">
        <f t="array" ref="C24">_xlfn.IFS($C$3="Tunja",DatoActi!D20,$C$3="Duitama",DatoActi!G20,$C$3="sogamoso",DatoActi!J20,$C$3="Departamento",DatoActi!M20)</f>
        <v>294</v>
      </c>
      <c r="D24" s="123" cm="1">
        <f t="array" ref="D24">_xlfn.IFS($C$3="Tunja",DatoActi!E20,$C$3="Duitama",DatoActi!H20,$C$3="sogamoso",DatoActi!K20,$C$3="Departamento",DatoActi!N20)</f>
        <v>72</v>
      </c>
      <c r="E24" s="123" cm="1">
        <f t="array" ref="E24">_xlfn.IFS($G$3="Tunja",DatoActi!C20,$G$3="Duitama",DatoActi!F20,$G$3="sogamoso",DatoActi!I20,$G$3="Departamento",DatoActi!L20)</f>
        <v>158</v>
      </c>
      <c r="F24" s="123" cm="1">
        <f t="array" ref="F24">_xlfn.IFS($G$3="Tunja",DatoActi!D20,$G$3="Duitama",DatoActi!G20,$G$3="sogamoso",DatoActi!J20,$G$3="Departamento",DatoActi!M20)</f>
        <v>434</v>
      </c>
      <c r="G24" s="123" cm="1">
        <f t="array" ref="G24">_xlfn.IFS($G$3="Tunja",DatoActi!E20,$G$3="Duitama",DatoActi!H20,$G$3="sogamoso",DatoActi!K20,$G$3="Departamento",DatoActi!N20)</f>
        <v>145</v>
      </c>
      <c r="H24" s="124" cm="1">
        <f t="array" ref="H24">_xlfn.IFS($B$4="Matrículas",B24,$B$4="Renovaciones",C24,$B$4="Cancelaciones",D24)</f>
        <v>294</v>
      </c>
      <c r="I24" s="124" cm="1">
        <f t="array" ref="I24">_xlfn.IFS($D$4="Matrículas",E24,$D$4="Renovaciones",F24,$D$4="Cancelaciones",G24)</f>
        <v>434</v>
      </c>
    </row>
    <row r="25" spans="1:19" x14ac:dyDescent="0.25">
      <c r="A25" s="77" t="s">
        <v>495</v>
      </c>
      <c r="B25" s="123" cm="1">
        <f t="array" ref="B25">_xlfn.IFS($C$3="Tunja",DatoActi!C21,$C$3="Duitama",DatoActi!F21,$C$3="sogamoso",DatoActi!I21,$C$3="Departamento",DatoActi!L21)</f>
        <v>163</v>
      </c>
      <c r="C25" s="123" cm="1">
        <f t="array" ref="C25">_xlfn.IFS($C$3="Tunja",DatoActi!D21,$C$3="Duitama",DatoActi!G21,$C$3="sogamoso",DatoActi!J21,$C$3="Departamento",DatoActi!M21)</f>
        <v>1070</v>
      </c>
      <c r="D25" s="123" cm="1">
        <f t="array" ref="D25">_xlfn.IFS($C$3="Tunja",DatoActi!E21,$C$3="Duitama",DatoActi!H21,$C$3="sogamoso",DatoActi!K21,$C$3="Departamento",DatoActi!N21)</f>
        <v>97</v>
      </c>
      <c r="E25" s="123" cm="1">
        <f t="array" ref="E25">_xlfn.IFS($G$3="Tunja",DatoActi!C21,$G$3="Duitama",DatoActi!F21,$G$3="sogamoso",DatoActi!I21,$G$3="Departamento",DatoActi!L21)</f>
        <v>377</v>
      </c>
      <c r="F25" s="123" cm="1">
        <f t="array" ref="F25">_xlfn.IFS($G$3="Tunja",DatoActi!D21,$G$3="Duitama",DatoActi!G21,$G$3="sogamoso",DatoActi!J21,$G$3="Departamento",DatoActi!M21)</f>
        <v>1807</v>
      </c>
      <c r="G25" s="123" cm="1">
        <f t="array" ref="G25">_xlfn.IFS($G$3="Tunja",DatoActi!E21,$G$3="Duitama",DatoActi!H21,$G$3="sogamoso",DatoActi!K21,$G$3="Departamento",DatoActi!N21)</f>
        <v>244</v>
      </c>
      <c r="H25" s="124" cm="1">
        <f t="array" ref="H25">_xlfn.IFS($B$4="Matrículas",B25,$B$4="Renovaciones",C25,$B$4="Cancelaciones",D25)</f>
        <v>1070</v>
      </c>
      <c r="I25" s="124" cm="1">
        <f t="array" ref="I25">_xlfn.IFS($D$4="Matrículas",E25,$D$4="Renovaciones",F25,$D$4="Cancelaciones",G25)</f>
        <v>1807</v>
      </c>
    </row>
  </sheetData>
  <sheetProtection algorithmName="SHA-512" hashValue="zUWsdEESaNdYBmJGS6gVT4CF91jFCwmJPBFMLDj9EnDMN424qmJmhSLiq0JiMCFBkNQ8wGZ7FHJpu121fCkemg==" saltValue="oa4nBPxXku7OWV2qwf8/Gw==" spinCount="100000" sheet="1" objects="1" scenarios="1" selectLockedCells="1"/>
  <mergeCells count="6">
    <mergeCell ref="P1:T1"/>
    <mergeCell ref="A3:B3"/>
    <mergeCell ref="D3:F3"/>
    <mergeCell ref="A1:I1"/>
    <mergeCell ref="A2:I2"/>
    <mergeCell ref="J1:N1"/>
  </mergeCells>
  <dataValidations count="2">
    <dataValidation type="list" allowBlank="1" showInputMessage="1" showErrorMessage="1" sqref="C3 G3" xr:uid="{9BCA0ECD-F3CD-48F8-99C8-007FD2D4715A}">
      <formula1>"Tunja, Duitama, Sogamoso, Departamento"</formula1>
    </dataValidation>
    <dataValidation type="list" allowBlank="1" showInputMessage="1" showErrorMessage="1" sqref="B4 D4" xr:uid="{8E086720-35B4-48E6-B038-AA75BB8B1700}">
      <formula1>"Matrículas, Renovaciones, Cancelaciones"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7E6769-FBC4-4647-AD0E-73CF52297BB5}">
  <dimension ref="A1:N38"/>
  <sheetViews>
    <sheetView workbookViewId="0"/>
  </sheetViews>
  <sheetFormatPr baseColWidth="10" defaultRowHeight="15" x14ac:dyDescent="0.25"/>
  <cols>
    <col min="1" max="1" width="8.42578125" bestFit="1" customWidth="1"/>
    <col min="2" max="2" width="63.42578125" bestFit="1" customWidth="1"/>
    <col min="3" max="3" width="10" style="132" bestFit="1" customWidth="1"/>
    <col min="4" max="4" width="13.28515625" style="132" bestFit="1" customWidth="1"/>
    <col min="5" max="5" width="13.5703125" style="132" bestFit="1" customWidth="1"/>
    <col min="6" max="6" width="11.42578125" style="120"/>
    <col min="7" max="7" width="14.7109375" style="120" bestFit="1" customWidth="1"/>
    <col min="8" max="8" width="15" style="120" bestFit="1" customWidth="1"/>
    <col min="9" max="9" width="10" style="132" bestFit="1" customWidth="1"/>
    <col min="10" max="10" width="13.28515625" style="132" bestFit="1" customWidth="1"/>
    <col min="11" max="11" width="13.5703125" style="132" bestFit="1" customWidth="1"/>
    <col min="12" max="12" width="10" bestFit="1" customWidth="1"/>
    <col min="13" max="13" width="13.28515625" bestFit="1" customWidth="1"/>
    <col min="14" max="14" width="13.5703125" bestFit="1" customWidth="1"/>
  </cols>
  <sheetData>
    <row r="1" spans="1:14" x14ac:dyDescent="0.25">
      <c r="C1" s="168" t="s">
        <v>241</v>
      </c>
      <c r="D1" s="168"/>
      <c r="E1" s="168"/>
      <c r="F1" s="167" t="s">
        <v>74</v>
      </c>
      <c r="G1" s="167"/>
      <c r="H1" s="167"/>
      <c r="I1" s="168" t="s">
        <v>205</v>
      </c>
      <c r="J1" s="168"/>
      <c r="K1" s="168"/>
      <c r="L1" s="169" t="s">
        <v>315</v>
      </c>
      <c r="M1" s="169"/>
      <c r="N1" s="169"/>
    </row>
    <row r="2" spans="1:14" x14ac:dyDescent="0.25">
      <c r="A2" t="s">
        <v>517</v>
      </c>
      <c r="B2" t="s">
        <v>457</v>
      </c>
      <c r="C2" s="132" t="s">
        <v>261</v>
      </c>
      <c r="D2" s="132" t="s">
        <v>262</v>
      </c>
      <c r="E2" s="132" t="s">
        <v>263</v>
      </c>
      <c r="F2" s="120" t="s">
        <v>261</v>
      </c>
      <c r="G2" s="120" t="s">
        <v>262</v>
      </c>
      <c r="H2" s="120" t="s">
        <v>263</v>
      </c>
      <c r="I2" s="132" t="s">
        <v>261</v>
      </c>
      <c r="J2" s="132" t="s">
        <v>262</v>
      </c>
      <c r="K2" s="132" t="s">
        <v>263</v>
      </c>
      <c r="L2" t="s">
        <v>261</v>
      </c>
      <c r="M2" t="s">
        <v>262</v>
      </c>
      <c r="N2" t="s">
        <v>263</v>
      </c>
    </row>
    <row r="3" spans="1:14" x14ac:dyDescent="0.25">
      <c r="A3" t="s">
        <v>458</v>
      </c>
      <c r="B3" t="s">
        <v>459</v>
      </c>
      <c r="C3" s="132">
        <v>103</v>
      </c>
      <c r="D3" s="132">
        <v>464</v>
      </c>
      <c r="E3" s="132">
        <v>90</v>
      </c>
      <c r="F3" s="120">
        <v>25</v>
      </c>
      <c r="G3" s="120">
        <v>218</v>
      </c>
      <c r="H3" s="120">
        <v>26</v>
      </c>
      <c r="I3" s="132">
        <v>23</v>
      </c>
      <c r="J3" s="132">
        <v>151</v>
      </c>
      <c r="K3" s="132">
        <v>1</v>
      </c>
      <c r="L3">
        <v>151</v>
      </c>
      <c r="M3">
        <v>833</v>
      </c>
      <c r="N3">
        <v>117</v>
      </c>
    </row>
    <row r="4" spans="1:14" x14ac:dyDescent="0.25">
      <c r="A4" t="s">
        <v>460</v>
      </c>
      <c r="B4" t="s">
        <v>461</v>
      </c>
      <c r="C4" s="132">
        <v>39</v>
      </c>
      <c r="D4" s="132">
        <v>191</v>
      </c>
      <c r="E4" s="132">
        <v>55</v>
      </c>
      <c r="F4" s="120">
        <v>46</v>
      </c>
      <c r="G4" s="120">
        <v>426</v>
      </c>
      <c r="H4" s="120">
        <v>42</v>
      </c>
      <c r="I4" s="132">
        <v>46</v>
      </c>
      <c r="J4" s="132">
        <v>327</v>
      </c>
      <c r="K4" s="132">
        <v>6</v>
      </c>
      <c r="L4">
        <v>131</v>
      </c>
      <c r="M4">
        <v>944</v>
      </c>
      <c r="N4">
        <v>103</v>
      </c>
    </row>
    <row r="5" spans="1:14" x14ac:dyDescent="0.25">
      <c r="A5" t="s">
        <v>462</v>
      </c>
      <c r="B5" t="s">
        <v>463</v>
      </c>
      <c r="C5" s="132">
        <v>453</v>
      </c>
      <c r="D5" s="132">
        <v>1955</v>
      </c>
      <c r="E5" s="132">
        <v>387</v>
      </c>
      <c r="F5" s="120">
        <v>188</v>
      </c>
      <c r="G5" s="120">
        <v>1387</v>
      </c>
      <c r="H5" s="120">
        <v>153</v>
      </c>
      <c r="I5" s="132">
        <v>159</v>
      </c>
      <c r="J5" s="132">
        <v>922</v>
      </c>
      <c r="K5" s="132">
        <v>35</v>
      </c>
      <c r="L5">
        <v>800</v>
      </c>
      <c r="M5">
        <v>4264</v>
      </c>
      <c r="N5">
        <v>575</v>
      </c>
    </row>
    <row r="6" spans="1:14" x14ac:dyDescent="0.25">
      <c r="A6" t="s">
        <v>464</v>
      </c>
      <c r="B6" t="s">
        <v>465</v>
      </c>
      <c r="C6" s="132">
        <v>4</v>
      </c>
      <c r="D6" s="132">
        <v>13</v>
      </c>
      <c r="E6" s="132">
        <v>2</v>
      </c>
      <c r="F6" s="120">
        <v>1</v>
      </c>
      <c r="G6" s="120">
        <v>9</v>
      </c>
      <c r="H6" s="120">
        <v>0</v>
      </c>
      <c r="I6" s="132">
        <v>1</v>
      </c>
      <c r="J6" s="132">
        <v>2</v>
      </c>
      <c r="K6" s="132">
        <v>0</v>
      </c>
      <c r="L6">
        <v>6</v>
      </c>
      <c r="M6">
        <v>24</v>
      </c>
      <c r="N6">
        <v>2</v>
      </c>
    </row>
    <row r="7" spans="1:14" x14ac:dyDescent="0.25">
      <c r="A7" t="s">
        <v>466</v>
      </c>
      <c r="B7" t="s">
        <v>467</v>
      </c>
      <c r="C7" s="132">
        <v>32</v>
      </c>
      <c r="D7" s="132">
        <v>566</v>
      </c>
      <c r="E7" s="132">
        <v>22</v>
      </c>
      <c r="F7" s="120">
        <v>12</v>
      </c>
      <c r="G7" s="120">
        <v>215</v>
      </c>
      <c r="H7" s="120">
        <v>10</v>
      </c>
      <c r="I7" s="132">
        <v>6</v>
      </c>
      <c r="J7" s="132">
        <v>119</v>
      </c>
      <c r="K7" s="132">
        <v>0</v>
      </c>
      <c r="L7">
        <v>50</v>
      </c>
      <c r="M7">
        <v>900</v>
      </c>
      <c r="N7">
        <v>32</v>
      </c>
    </row>
    <row r="8" spans="1:14" x14ac:dyDescent="0.25">
      <c r="A8" t="s">
        <v>468</v>
      </c>
      <c r="B8" t="s">
        <v>469</v>
      </c>
      <c r="C8" s="132">
        <v>240</v>
      </c>
      <c r="D8" s="132">
        <v>987</v>
      </c>
      <c r="E8" s="132">
        <v>228</v>
      </c>
      <c r="F8" s="120">
        <v>92</v>
      </c>
      <c r="G8" s="120">
        <v>534</v>
      </c>
      <c r="H8" s="120">
        <v>71</v>
      </c>
      <c r="I8" s="132">
        <v>71</v>
      </c>
      <c r="J8" s="132">
        <v>392</v>
      </c>
      <c r="K8" s="132">
        <v>14</v>
      </c>
      <c r="L8">
        <v>403</v>
      </c>
      <c r="M8">
        <v>1913</v>
      </c>
      <c r="N8">
        <v>313</v>
      </c>
    </row>
    <row r="9" spans="1:14" x14ac:dyDescent="0.25">
      <c r="A9" t="s">
        <v>470</v>
      </c>
      <c r="B9" t="s">
        <v>471</v>
      </c>
      <c r="C9" s="132">
        <v>2303</v>
      </c>
      <c r="D9" s="132">
        <v>10714</v>
      </c>
      <c r="E9" s="132">
        <v>2379</v>
      </c>
      <c r="F9" s="120">
        <v>1050</v>
      </c>
      <c r="G9" s="120">
        <v>7083</v>
      </c>
      <c r="H9" s="120">
        <v>927</v>
      </c>
      <c r="I9" s="132">
        <v>885</v>
      </c>
      <c r="J9" s="132">
        <v>4184</v>
      </c>
      <c r="K9" s="132">
        <v>196</v>
      </c>
      <c r="L9">
        <v>4238</v>
      </c>
      <c r="M9">
        <v>21981</v>
      </c>
      <c r="N9">
        <v>3502</v>
      </c>
    </row>
    <row r="10" spans="1:14" x14ac:dyDescent="0.25">
      <c r="A10" t="s">
        <v>472</v>
      </c>
      <c r="B10" t="s">
        <v>473</v>
      </c>
      <c r="C10" s="132">
        <v>241</v>
      </c>
      <c r="D10" s="132">
        <v>863</v>
      </c>
      <c r="E10" s="132">
        <v>284</v>
      </c>
      <c r="F10" s="120">
        <v>106</v>
      </c>
      <c r="G10" s="120">
        <v>753</v>
      </c>
      <c r="H10" s="120">
        <v>101</v>
      </c>
      <c r="I10" s="132">
        <v>90</v>
      </c>
      <c r="J10" s="132">
        <v>470</v>
      </c>
      <c r="K10" s="132">
        <v>35</v>
      </c>
      <c r="L10">
        <v>437</v>
      </c>
      <c r="M10">
        <v>2086</v>
      </c>
      <c r="N10">
        <v>420</v>
      </c>
    </row>
    <row r="11" spans="1:14" x14ac:dyDescent="0.25">
      <c r="A11" t="s">
        <v>474</v>
      </c>
      <c r="B11" t="s">
        <v>475</v>
      </c>
      <c r="C11" s="132">
        <v>1508</v>
      </c>
      <c r="D11" s="132">
        <v>3972</v>
      </c>
      <c r="E11" s="132">
        <v>1265</v>
      </c>
      <c r="F11" s="120">
        <v>497</v>
      </c>
      <c r="G11" s="120">
        <v>2272</v>
      </c>
      <c r="H11" s="120">
        <v>391</v>
      </c>
      <c r="I11" s="132">
        <v>455</v>
      </c>
      <c r="J11" s="132">
        <v>1332</v>
      </c>
      <c r="K11" s="132">
        <v>125</v>
      </c>
      <c r="L11">
        <v>2460</v>
      </c>
      <c r="M11">
        <v>7576</v>
      </c>
      <c r="N11">
        <v>1781</v>
      </c>
    </row>
    <row r="12" spans="1:14" x14ac:dyDescent="0.25">
      <c r="A12" t="s">
        <v>476</v>
      </c>
      <c r="B12" t="s">
        <v>477</v>
      </c>
      <c r="C12" s="132">
        <v>54</v>
      </c>
      <c r="D12" s="132">
        <v>389</v>
      </c>
      <c r="E12" s="132">
        <v>81</v>
      </c>
      <c r="F12" s="120">
        <v>16</v>
      </c>
      <c r="G12" s="120">
        <v>200</v>
      </c>
      <c r="H12" s="120">
        <v>24</v>
      </c>
      <c r="I12" s="132">
        <v>21</v>
      </c>
      <c r="J12" s="132">
        <v>135</v>
      </c>
      <c r="K12" s="132">
        <v>9</v>
      </c>
      <c r="L12">
        <v>91</v>
      </c>
      <c r="M12">
        <v>724</v>
      </c>
      <c r="N12">
        <v>114</v>
      </c>
    </row>
    <row r="13" spans="1:14" x14ac:dyDescent="0.25">
      <c r="A13" t="s">
        <v>478</v>
      </c>
      <c r="B13" t="s">
        <v>479</v>
      </c>
      <c r="C13" s="132">
        <v>27</v>
      </c>
      <c r="D13" s="132">
        <v>195</v>
      </c>
      <c r="E13" s="132">
        <v>37</v>
      </c>
      <c r="F13" s="120">
        <v>7</v>
      </c>
      <c r="G13" s="120">
        <v>87</v>
      </c>
      <c r="H13" s="120">
        <v>14</v>
      </c>
      <c r="I13" s="132">
        <v>4</v>
      </c>
      <c r="J13" s="132">
        <v>66</v>
      </c>
      <c r="K13" s="132">
        <v>2</v>
      </c>
      <c r="L13">
        <v>38</v>
      </c>
      <c r="M13">
        <v>348</v>
      </c>
      <c r="N13">
        <v>53</v>
      </c>
    </row>
    <row r="14" spans="1:14" x14ac:dyDescent="0.25">
      <c r="A14" t="s">
        <v>480</v>
      </c>
      <c r="B14" t="s">
        <v>481</v>
      </c>
      <c r="C14" s="132">
        <v>53</v>
      </c>
      <c r="D14" s="132">
        <v>210</v>
      </c>
      <c r="E14" s="132">
        <v>27</v>
      </c>
      <c r="F14" s="120">
        <v>11</v>
      </c>
      <c r="G14" s="120">
        <v>106</v>
      </c>
      <c r="H14" s="120">
        <v>9</v>
      </c>
      <c r="I14" s="132">
        <v>11</v>
      </c>
      <c r="J14" s="132">
        <v>42</v>
      </c>
      <c r="K14" s="132">
        <v>1</v>
      </c>
      <c r="L14">
        <v>75</v>
      </c>
      <c r="M14">
        <v>358</v>
      </c>
      <c r="N14">
        <v>37</v>
      </c>
    </row>
    <row r="15" spans="1:14" x14ac:dyDescent="0.25">
      <c r="A15" t="s">
        <v>482</v>
      </c>
      <c r="B15" t="s">
        <v>483</v>
      </c>
      <c r="C15" s="132">
        <v>207</v>
      </c>
      <c r="D15" s="132">
        <v>1009</v>
      </c>
      <c r="E15" s="132">
        <v>210</v>
      </c>
      <c r="F15" s="120">
        <v>88</v>
      </c>
      <c r="G15" s="120">
        <v>599</v>
      </c>
      <c r="H15" s="120">
        <v>65</v>
      </c>
      <c r="I15" s="132">
        <v>98</v>
      </c>
      <c r="J15" s="132">
        <v>441</v>
      </c>
      <c r="K15" s="132">
        <v>12</v>
      </c>
      <c r="L15">
        <v>393</v>
      </c>
      <c r="M15">
        <v>2049</v>
      </c>
      <c r="N15">
        <v>287</v>
      </c>
    </row>
    <row r="16" spans="1:14" x14ac:dyDescent="0.25">
      <c r="A16" t="s">
        <v>484</v>
      </c>
      <c r="B16" t="s">
        <v>485</v>
      </c>
      <c r="C16" s="132">
        <v>159</v>
      </c>
      <c r="D16" s="132">
        <v>587</v>
      </c>
      <c r="E16" s="132">
        <v>141</v>
      </c>
      <c r="F16" s="120">
        <v>73</v>
      </c>
      <c r="G16" s="120">
        <v>400</v>
      </c>
      <c r="H16" s="120">
        <v>50</v>
      </c>
      <c r="I16" s="132">
        <v>41</v>
      </c>
      <c r="J16" s="132">
        <v>214</v>
      </c>
      <c r="K16" s="132">
        <v>4</v>
      </c>
      <c r="L16">
        <v>273</v>
      </c>
      <c r="M16">
        <v>1201</v>
      </c>
      <c r="N16">
        <v>195</v>
      </c>
    </row>
    <row r="17" spans="1:14" x14ac:dyDescent="0.25">
      <c r="A17" t="s">
        <v>486</v>
      </c>
      <c r="B17" t="s">
        <v>487</v>
      </c>
      <c r="C17" s="132">
        <v>5</v>
      </c>
      <c r="D17" s="132">
        <v>20</v>
      </c>
      <c r="E17" s="132">
        <v>1</v>
      </c>
      <c r="F17" s="120">
        <v>0</v>
      </c>
      <c r="G17" s="120">
        <v>8</v>
      </c>
      <c r="H17" s="120">
        <v>0</v>
      </c>
      <c r="I17" s="132">
        <v>0</v>
      </c>
      <c r="J17" s="132">
        <v>3</v>
      </c>
      <c r="K17" s="132">
        <v>0</v>
      </c>
      <c r="L17">
        <v>5</v>
      </c>
      <c r="M17">
        <v>31</v>
      </c>
      <c r="N17">
        <v>1</v>
      </c>
    </row>
    <row r="18" spans="1:14" x14ac:dyDescent="0.25">
      <c r="A18" t="s">
        <v>488</v>
      </c>
      <c r="B18" t="s">
        <v>489</v>
      </c>
      <c r="C18" s="132">
        <v>30</v>
      </c>
      <c r="D18" s="132">
        <v>152</v>
      </c>
      <c r="E18" s="132">
        <v>24</v>
      </c>
      <c r="F18" s="120">
        <v>8</v>
      </c>
      <c r="G18" s="120">
        <v>69</v>
      </c>
      <c r="H18" s="120">
        <v>7</v>
      </c>
      <c r="I18" s="132">
        <v>11</v>
      </c>
      <c r="J18" s="132">
        <v>61</v>
      </c>
      <c r="K18" s="132">
        <v>3</v>
      </c>
      <c r="L18">
        <v>49</v>
      </c>
      <c r="M18">
        <v>282</v>
      </c>
      <c r="N18">
        <v>34</v>
      </c>
    </row>
    <row r="19" spans="1:14" x14ac:dyDescent="0.25">
      <c r="A19" t="s">
        <v>490</v>
      </c>
      <c r="B19" t="s">
        <v>491</v>
      </c>
      <c r="C19" s="132">
        <v>46</v>
      </c>
      <c r="D19" s="132">
        <v>322</v>
      </c>
      <c r="E19" s="132">
        <v>41</v>
      </c>
      <c r="F19" s="120">
        <v>16</v>
      </c>
      <c r="G19" s="120">
        <v>134</v>
      </c>
      <c r="H19" s="120">
        <v>15</v>
      </c>
      <c r="I19" s="132">
        <v>7</v>
      </c>
      <c r="J19" s="132">
        <v>102</v>
      </c>
      <c r="K19" s="132">
        <v>1</v>
      </c>
      <c r="L19">
        <v>69</v>
      </c>
      <c r="M19">
        <v>558</v>
      </c>
      <c r="N19">
        <v>57</v>
      </c>
    </row>
    <row r="20" spans="1:14" x14ac:dyDescent="0.25">
      <c r="A20" t="s">
        <v>492</v>
      </c>
      <c r="B20" t="s">
        <v>493</v>
      </c>
      <c r="C20" s="132">
        <v>158</v>
      </c>
      <c r="D20" s="132">
        <v>434</v>
      </c>
      <c r="E20" s="132">
        <v>145</v>
      </c>
      <c r="F20" s="120">
        <v>53</v>
      </c>
      <c r="G20" s="120">
        <v>294</v>
      </c>
      <c r="H20" s="120">
        <v>72</v>
      </c>
      <c r="I20" s="132">
        <v>32</v>
      </c>
      <c r="J20" s="132">
        <v>135</v>
      </c>
      <c r="K20" s="132">
        <v>10</v>
      </c>
      <c r="L20">
        <v>243</v>
      </c>
      <c r="M20">
        <v>863</v>
      </c>
      <c r="N20">
        <v>227</v>
      </c>
    </row>
    <row r="21" spans="1:14" x14ac:dyDescent="0.25">
      <c r="A21" t="s">
        <v>494</v>
      </c>
      <c r="B21" t="s">
        <v>495</v>
      </c>
      <c r="C21" s="132">
        <v>377</v>
      </c>
      <c r="D21" s="132">
        <v>1807</v>
      </c>
      <c r="E21" s="132">
        <v>244</v>
      </c>
      <c r="F21" s="120">
        <v>163</v>
      </c>
      <c r="G21" s="120">
        <v>1070</v>
      </c>
      <c r="H21" s="120">
        <v>97</v>
      </c>
      <c r="I21" s="132">
        <v>120</v>
      </c>
      <c r="J21" s="132">
        <v>845</v>
      </c>
      <c r="K21" s="132">
        <v>10</v>
      </c>
      <c r="L21">
        <v>660</v>
      </c>
      <c r="M21">
        <v>3722</v>
      </c>
      <c r="N21">
        <v>351</v>
      </c>
    </row>
    <row r="22" spans="1:14" x14ac:dyDescent="0.25">
      <c r="A22">
        <v>1</v>
      </c>
      <c r="B22" t="s">
        <v>496</v>
      </c>
      <c r="C22" s="132">
        <v>5038</v>
      </c>
      <c r="D22" s="132">
        <v>19278</v>
      </c>
      <c r="E22" s="132">
        <v>5484</v>
      </c>
      <c r="F22" s="120">
        <v>2032</v>
      </c>
      <c r="G22" s="120">
        <v>12630</v>
      </c>
      <c r="H22" s="120">
        <v>1988</v>
      </c>
      <c r="I22" s="132">
        <v>1668</v>
      </c>
      <c r="J22" s="132">
        <v>7637</v>
      </c>
      <c r="K22" s="132">
        <v>443</v>
      </c>
      <c r="L22">
        <v>8738</v>
      </c>
      <c r="M22">
        <v>39545</v>
      </c>
      <c r="N22">
        <v>7915</v>
      </c>
    </row>
    <row r="23" spans="1:14" x14ac:dyDescent="0.25">
      <c r="A23">
        <v>3</v>
      </c>
      <c r="B23" t="s">
        <v>497</v>
      </c>
      <c r="C23" s="132">
        <v>9</v>
      </c>
      <c r="D23" s="132">
        <v>209</v>
      </c>
      <c r="E23" s="132">
        <v>6</v>
      </c>
      <c r="F23" s="120">
        <v>4</v>
      </c>
      <c r="G23" s="120">
        <v>180</v>
      </c>
      <c r="H23" s="120">
        <v>2</v>
      </c>
      <c r="I23" s="132">
        <v>1</v>
      </c>
      <c r="J23" s="132">
        <v>97</v>
      </c>
      <c r="K23" s="132">
        <v>1</v>
      </c>
      <c r="L23">
        <v>14</v>
      </c>
      <c r="M23">
        <v>486</v>
      </c>
      <c r="N23">
        <v>9</v>
      </c>
    </row>
    <row r="24" spans="1:14" x14ac:dyDescent="0.25">
      <c r="A24">
        <v>4</v>
      </c>
      <c r="B24" t="s">
        <v>498</v>
      </c>
      <c r="C24" s="132">
        <v>0</v>
      </c>
      <c r="D24" s="132">
        <v>47</v>
      </c>
      <c r="E24" s="132">
        <v>0</v>
      </c>
      <c r="F24" s="120">
        <v>0</v>
      </c>
      <c r="G24" s="120">
        <v>28</v>
      </c>
      <c r="H24" s="120">
        <v>3</v>
      </c>
      <c r="I24" s="132">
        <v>1</v>
      </c>
      <c r="J24" s="132">
        <v>33</v>
      </c>
      <c r="K24" s="132">
        <v>0</v>
      </c>
      <c r="L24">
        <v>1</v>
      </c>
      <c r="M24">
        <v>108</v>
      </c>
      <c r="N24">
        <v>3</v>
      </c>
    </row>
    <row r="25" spans="1:14" x14ac:dyDescent="0.25">
      <c r="A25">
        <v>5</v>
      </c>
      <c r="B25" t="s">
        <v>499</v>
      </c>
      <c r="C25" s="132">
        <v>2</v>
      </c>
      <c r="D25" s="132">
        <v>15</v>
      </c>
      <c r="E25" s="132">
        <v>0</v>
      </c>
      <c r="F25" s="120">
        <v>2</v>
      </c>
      <c r="G25" s="120">
        <v>19</v>
      </c>
      <c r="H25" s="120">
        <v>0</v>
      </c>
      <c r="I25" s="132">
        <v>0</v>
      </c>
      <c r="J25" s="132">
        <v>6</v>
      </c>
      <c r="K25" s="132">
        <v>0</v>
      </c>
      <c r="L25">
        <v>4</v>
      </c>
      <c r="M25">
        <v>40</v>
      </c>
      <c r="N25">
        <v>0</v>
      </c>
    </row>
    <row r="26" spans="1:14" x14ac:dyDescent="0.25">
      <c r="A26">
        <v>6</v>
      </c>
      <c r="B26" t="s">
        <v>500</v>
      </c>
      <c r="C26" s="132">
        <v>0</v>
      </c>
      <c r="D26" s="132">
        <v>2</v>
      </c>
      <c r="E26" s="132">
        <v>0</v>
      </c>
      <c r="F26" s="120">
        <v>0</v>
      </c>
      <c r="G26" s="120">
        <v>0</v>
      </c>
      <c r="H26" s="120">
        <v>0</v>
      </c>
      <c r="I26" s="132">
        <v>0</v>
      </c>
      <c r="J26" s="132">
        <v>0</v>
      </c>
      <c r="K26" s="132">
        <v>0</v>
      </c>
      <c r="L26">
        <v>0</v>
      </c>
      <c r="M26">
        <v>2</v>
      </c>
      <c r="N26">
        <v>0</v>
      </c>
    </row>
    <row r="27" spans="1:14" x14ac:dyDescent="0.25">
      <c r="A27">
        <v>7</v>
      </c>
      <c r="B27" t="s">
        <v>501</v>
      </c>
      <c r="C27" s="132">
        <v>0</v>
      </c>
      <c r="D27" s="132">
        <v>6</v>
      </c>
      <c r="E27" s="132">
        <v>0</v>
      </c>
      <c r="F27" s="120">
        <v>0</v>
      </c>
      <c r="G27" s="120">
        <v>0</v>
      </c>
      <c r="H27" s="120">
        <v>0</v>
      </c>
      <c r="I27" s="132">
        <v>0</v>
      </c>
      <c r="J27" s="132">
        <v>0</v>
      </c>
      <c r="K27" s="132">
        <v>0</v>
      </c>
      <c r="L27">
        <v>0</v>
      </c>
      <c r="M27">
        <v>6</v>
      </c>
      <c r="N27">
        <v>0</v>
      </c>
    </row>
    <row r="28" spans="1:14" x14ac:dyDescent="0.25">
      <c r="A28">
        <v>8</v>
      </c>
      <c r="B28" t="s">
        <v>502</v>
      </c>
      <c r="C28" s="132">
        <v>0</v>
      </c>
      <c r="D28" s="132">
        <v>1</v>
      </c>
      <c r="E28" s="132">
        <v>0</v>
      </c>
      <c r="F28" s="120">
        <v>0</v>
      </c>
      <c r="G28" s="120">
        <v>0</v>
      </c>
      <c r="H28" s="120">
        <v>0</v>
      </c>
      <c r="I28" s="132">
        <v>0</v>
      </c>
      <c r="J28" s="132">
        <v>0</v>
      </c>
      <c r="K28" s="132">
        <v>0</v>
      </c>
      <c r="L28">
        <v>0</v>
      </c>
      <c r="M28">
        <v>1</v>
      </c>
      <c r="N28">
        <v>0</v>
      </c>
    </row>
    <row r="29" spans="1:14" x14ac:dyDescent="0.25">
      <c r="A29">
        <v>10</v>
      </c>
      <c r="B29" t="s">
        <v>503</v>
      </c>
      <c r="C29" s="132">
        <v>0</v>
      </c>
      <c r="D29" s="132">
        <v>32</v>
      </c>
      <c r="E29" s="132">
        <v>1</v>
      </c>
      <c r="F29" s="120">
        <v>0</v>
      </c>
      <c r="G29" s="120">
        <v>19</v>
      </c>
      <c r="H29" s="120">
        <v>1</v>
      </c>
      <c r="I29" s="132">
        <v>0</v>
      </c>
      <c r="J29" s="132">
        <v>22</v>
      </c>
      <c r="K29" s="132">
        <v>1</v>
      </c>
      <c r="L29">
        <v>0</v>
      </c>
      <c r="M29">
        <v>73</v>
      </c>
      <c r="N29">
        <v>3</v>
      </c>
    </row>
    <row r="30" spans="1:14" x14ac:dyDescent="0.25">
      <c r="A30">
        <v>11</v>
      </c>
      <c r="B30" t="s">
        <v>504</v>
      </c>
      <c r="C30" s="132">
        <v>234</v>
      </c>
      <c r="D30" s="132">
        <v>1868</v>
      </c>
      <c r="E30" s="132">
        <v>32</v>
      </c>
      <c r="F30" s="120">
        <v>61</v>
      </c>
      <c r="G30" s="120">
        <v>676</v>
      </c>
      <c r="H30" s="120">
        <v>14</v>
      </c>
      <c r="I30" s="132">
        <v>60</v>
      </c>
      <c r="J30" s="132">
        <v>566</v>
      </c>
      <c r="K30" s="132">
        <v>0</v>
      </c>
      <c r="L30">
        <v>355</v>
      </c>
      <c r="M30">
        <v>3110</v>
      </c>
      <c r="N30">
        <v>46</v>
      </c>
    </row>
    <row r="31" spans="1:14" x14ac:dyDescent="0.25">
      <c r="A31">
        <v>12</v>
      </c>
      <c r="B31" t="s">
        <v>505</v>
      </c>
      <c r="C31" s="132">
        <v>5</v>
      </c>
      <c r="D31" s="132">
        <v>73</v>
      </c>
      <c r="E31" s="132">
        <v>1</v>
      </c>
      <c r="F31" s="120">
        <v>0</v>
      </c>
      <c r="G31" s="120">
        <v>67</v>
      </c>
      <c r="H31" s="120">
        <v>1</v>
      </c>
      <c r="I31" s="132">
        <v>2</v>
      </c>
      <c r="J31" s="132">
        <v>48</v>
      </c>
      <c r="K31" s="132">
        <v>0</v>
      </c>
      <c r="L31">
        <v>7</v>
      </c>
      <c r="M31">
        <v>188</v>
      </c>
      <c r="N31">
        <v>2</v>
      </c>
    </row>
    <row r="32" spans="1:14" x14ac:dyDescent="0.25">
      <c r="A32">
        <v>13</v>
      </c>
      <c r="B32" t="s">
        <v>506</v>
      </c>
      <c r="C32" s="132">
        <v>0</v>
      </c>
      <c r="D32" s="132">
        <v>0</v>
      </c>
      <c r="E32" s="132">
        <v>0</v>
      </c>
      <c r="F32" s="120">
        <v>0</v>
      </c>
      <c r="G32" s="120">
        <v>0</v>
      </c>
      <c r="H32" s="120">
        <v>0</v>
      </c>
      <c r="I32" s="132">
        <v>0</v>
      </c>
      <c r="J32" s="132">
        <v>0</v>
      </c>
      <c r="K32" s="132">
        <v>0</v>
      </c>
      <c r="L32">
        <v>0</v>
      </c>
      <c r="M32">
        <v>0</v>
      </c>
      <c r="N32">
        <v>0</v>
      </c>
    </row>
    <row r="33" spans="1:14" x14ac:dyDescent="0.25">
      <c r="A33">
        <v>14</v>
      </c>
      <c r="B33" t="s">
        <v>507</v>
      </c>
      <c r="C33" s="132">
        <v>0</v>
      </c>
      <c r="D33" s="132">
        <v>0</v>
      </c>
      <c r="E33" s="132">
        <v>0</v>
      </c>
      <c r="F33" s="120">
        <v>0</v>
      </c>
      <c r="G33" s="120">
        <v>1</v>
      </c>
      <c r="H33" s="120">
        <v>0</v>
      </c>
      <c r="I33" s="132">
        <v>0</v>
      </c>
      <c r="J33" s="132">
        <v>0</v>
      </c>
      <c r="K33" s="132">
        <v>0</v>
      </c>
      <c r="L33">
        <v>0</v>
      </c>
      <c r="M33">
        <v>1</v>
      </c>
      <c r="N33">
        <v>0</v>
      </c>
    </row>
    <row r="34" spans="1:14" x14ac:dyDescent="0.25">
      <c r="A34">
        <v>16</v>
      </c>
      <c r="B34" t="s">
        <v>508</v>
      </c>
      <c r="C34" s="132">
        <v>751</v>
      </c>
      <c r="D34" s="132">
        <v>3322</v>
      </c>
      <c r="E34" s="132">
        <v>141</v>
      </c>
      <c r="F34" s="120">
        <v>353</v>
      </c>
      <c r="G34" s="120">
        <v>2244</v>
      </c>
      <c r="H34" s="120">
        <v>66</v>
      </c>
      <c r="I34" s="132">
        <v>349</v>
      </c>
      <c r="J34" s="132">
        <v>1534</v>
      </c>
      <c r="K34" s="132">
        <v>19</v>
      </c>
      <c r="L34">
        <v>1453</v>
      </c>
      <c r="M34">
        <v>7100</v>
      </c>
      <c r="N34">
        <v>226</v>
      </c>
    </row>
    <row r="35" spans="1:14" x14ac:dyDescent="0.25">
      <c r="A35" t="s">
        <v>513</v>
      </c>
      <c r="B35" t="s">
        <v>509</v>
      </c>
      <c r="C35" s="132">
        <v>6038</v>
      </c>
      <c r="D35" s="132">
        <v>24175</v>
      </c>
      <c r="E35" s="132">
        <v>5646</v>
      </c>
      <c r="F35" s="120">
        <v>2450</v>
      </c>
      <c r="G35" s="120">
        <v>15527</v>
      </c>
      <c r="H35" s="120">
        <v>2065</v>
      </c>
      <c r="I35" s="143">
        <v>2076</v>
      </c>
      <c r="J35" s="143">
        <v>9730</v>
      </c>
      <c r="K35" s="143">
        <v>461</v>
      </c>
      <c r="L35" s="144">
        <v>10564</v>
      </c>
      <c r="M35" s="144">
        <v>49432</v>
      </c>
      <c r="N35" s="144">
        <v>8172</v>
      </c>
    </row>
    <row r="36" spans="1:14" x14ac:dyDescent="0.25">
      <c r="A36" t="s">
        <v>514</v>
      </c>
      <c r="B36" t="s">
        <v>510</v>
      </c>
      <c r="C36" s="132">
        <v>1</v>
      </c>
      <c r="D36" s="132">
        <v>540</v>
      </c>
      <c r="E36" s="132">
        <v>12</v>
      </c>
      <c r="F36" s="120">
        <v>2</v>
      </c>
      <c r="G36" s="120">
        <v>261</v>
      </c>
      <c r="H36" s="120">
        <v>7</v>
      </c>
      <c r="I36" s="143">
        <v>3</v>
      </c>
      <c r="J36" s="143">
        <v>162</v>
      </c>
      <c r="K36" s="143">
        <v>2</v>
      </c>
      <c r="L36" s="144">
        <v>6</v>
      </c>
      <c r="M36" s="144">
        <v>963</v>
      </c>
      <c r="N36" s="144">
        <v>21</v>
      </c>
    </row>
    <row r="37" spans="1:14" x14ac:dyDescent="0.25">
      <c r="A37" t="s">
        <v>516</v>
      </c>
      <c r="B37" t="s">
        <v>511</v>
      </c>
      <c r="C37" s="132">
        <v>0</v>
      </c>
      <c r="D37" s="132">
        <v>105</v>
      </c>
      <c r="E37" s="132">
        <v>4</v>
      </c>
      <c r="F37" s="120">
        <v>0</v>
      </c>
      <c r="G37" s="120">
        <v>64</v>
      </c>
      <c r="H37" s="120">
        <v>3</v>
      </c>
      <c r="I37" s="143">
        <v>2</v>
      </c>
      <c r="J37" s="143">
        <v>39</v>
      </c>
      <c r="K37" s="143">
        <v>1</v>
      </c>
      <c r="L37" s="144">
        <v>2</v>
      </c>
      <c r="M37" s="144">
        <v>208</v>
      </c>
      <c r="N37" s="144">
        <v>8</v>
      </c>
    </row>
    <row r="38" spans="1:14" x14ac:dyDescent="0.25">
      <c r="A38" t="s">
        <v>515</v>
      </c>
      <c r="B38" t="s">
        <v>512</v>
      </c>
      <c r="C38" s="132">
        <v>0</v>
      </c>
      <c r="D38" s="132">
        <v>33</v>
      </c>
      <c r="E38" s="132">
        <v>3</v>
      </c>
      <c r="F38" s="120">
        <v>0</v>
      </c>
      <c r="G38" s="120">
        <v>12</v>
      </c>
      <c r="H38" s="120">
        <v>0</v>
      </c>
      <c r="I38" s="143">
        <v>0</v>
      </c>
      <c r="J38" s="143">
        <v>12</v>
      </c>
      <c r="K38" s="143">
        <v>0</v>
      </c>
      <c r="L38" s="144">
        <v>0</v>
      </c>
      <c r="M38" s="144">
        <v>57</v>
      </c>
      <c r="N38" s="144">
        <v>3</v>
      </c>
    </row>
  </sheetData>
  <mergeCells count="4">
    <mergeCell ref="F1:H1"/>
    <mergeCell ref="C1:E1"/>
    <mergeCell ref="I1:K1"/>
    <mergeCell ref="L1:N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6</vt:i4>
      </vt:variant>
    </vt:vector>
  </HeadingPairs>
  <TitlesOfParts>
    <vt:vector size="15" baseType="lpstr">
      <vt:lpstr>Inicio</vt:lpstr>
      <vt:lpstr>BaseMun</vt:lpstr>
      <vt:lpstr>Económico</vt:lpstr>
      <vt:lpstr>Social</vt:lpstr>
      <vt:lpstr>Ambiental</vt:lpstr>
      <vt:lpstr>BaseBoy</vt:lpstr>
      <vt:lpstr>Boyacá</vt:lpstr>
      <vt:lpstr>Tejido</vt:lpstr>
      <vt:lpstr>DatoActi</vt:lpstr>
      <vt:lpstr>Ambiental!Área_de_impresión</vt:lpstr>
      <vt:lpstr>Boyacá!Área_de_impresión</vt:lpstr>
      <vt:lpstr>Económico!Área_de_impresión</vt:lpstr>
      <vt:lpstr>Inicio!Área_de_impresión</vt:lpstr>
      <vt:lpstr>Social!Área_de_impresión</vt:lpstr>
      <vt:lpstr>Tejido!Área_de_impresión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Hermes Castro</dc:creator>
  <cp:lastModifiedBy>Hermes Castro</cp:lastModifiedBy>
  <cp:lastPrinted>2025-07-13T00:37:19Z</cp:lastPrinted>
  <dcterms:created xsi:type="dcterms:W3CDTF">2025-06-19T20:41:39Z</dcterms:created>
  <dcterms:modified xsi:type="dcterms:W3CDTF">2025-08-30T02:53:23Z</dcterms:modified>
</cp:coreProperties>
</file>